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JEC A 30 JUN.-2019" sheetId="1" r:id="rId1"/>
    <sheet name="CUAD. PRES. A JUN.30-2019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0" i="2" l="1"/>
  <c r="X17" i="1"/>
  <c r="V17" i="1"/>
  <c r="H24" i="2"/>
  <c r="I24" i="2"/>
  <c r="D24" i="2"/>
  <c r="C24" i="2"/>
  <c r="K23" i="2"/>
  <c r="L23" i="2" s="1"/>
  <c r="J23" i="2"/>
  <c r="F23" i="2"/>
  <c r="G23" i="2" s="1"/>
  <c r="E23" i="2"/>
  <c r="K22" i="2"/>
  <c r="L22" i="2" s="1"/>
  <c r="J22" i="2"/>
  <c r="K21" i="2"/>
  <c r="L21" i="2" s="1"/>
  <c r="J21" i="2"/>
  <c r="F21" i="2"/>
  <c r="G21" i="2" s="1"/>
  <c r="E21" i="2"/>
  <c r="K20" i="2"/>
  <c r="L20" i="2" s="1"/>
  <c r="J20" i="2"/>
  <c r="G20" i="2"/>
  <c r="F20" i="2"/>
  <c r="E20" i="2"/>
  <c r="K19" i="2"/>
  <c r="L19" i="2" s="1"/>
  <c r="J19" i="2"/>
  <c r="F19" i="2"/>
  <c r="G19" i="2" s="1"/>
  <c r="E19" i="2"/>
  <c r="K18" i="2"/>
  <c r="L18" i="2" s="1"/>
  <c r="F18" i="2"/>
  <c r="G18" i="2" s="1"/>
  <c r="E18" i="2"/>
  <c r="K17" i="2"/>
  <c r="L17" i="2" s="1"/>
  <c r="J17" i="2"/>
  <c r="G17" i="2"/>
  <c r="F17" i="2"/>
  <c r="E17" i="2"/>
  <c r="K16" i="2"/>
  <c r="L16" i="2" s="1"/>
  <c r="J16" i="2"/>
  <c r="F16" i="2"/>
  <c r="G16" i="2" s="1"/>
  <c r="E16" i="2"/>
  <c r="K15" i="2"/>
  <c r="L15" i="2" s="1"/>
  <c r="J15" i="2"/>
  <c r="F15" i="2"/>
  <c r="G15" i="2" s="1"/>
  <c r="E15" i="2"/>
  <c r="K14" i="2"/>
  <c r="L14" i="2" s="1"/>
  <c r="J14" i="2"/>
  <c r="F14" i="2"/>
  <c r="G14" i="2" s="1"/>
  <c r="E14" i="2"/>
  <c r="J13" i="2"/>
  <c r="F13" i="2"/>
  <c r="G13" i="2" s="1"/>
  <c r="E13" i="2"/>
  <c r="F12" i="2"/>
  <c r="G12" i="2" s="1"/>
  <c r="E12" i="2"/>
  <c r="K11" i="2"/>
  <c r="L11" i="2" s="1"/>
  <c r="J11" i="2"/>
  <c r="F11" i="2"/>
  <c r="G11" i="2" s="1"/>
  <c r="E11" i="2"/>
  <c r="K10" i="2"/>
  <c r="F10" i="2"/>
  <c r="G10" i="2" s="1"/>
  <c r="E10" i="2"/>
  <c r="F24" i="2" l="1"/>
  <c r="G24" i="2" s="1"/>
  <c r="J24" i="2"/>
  <c r="J18" i="2"/>
  <c r="K13" i="2"/>
  <c r="L13" i="2" s="1"/>
  <c r="J12" i="2"/>
  <c r="K12" i="2"/>
  <c r="L12" i="2" s="1"/>
  <c r="L10" i="2"/>
  <c r="E24" i="2"/>
  <c r="K24" i="2" l="1"/>
  <c r="L24" i="2" s="1"/>
  <c r="T151" i="1" l="1"/>
  <c r="R151" i="1"/>
  <c r="V150" i="1"/>
  <c r="T142" i="1"/>
  <c r="R142" i="1"/>
  <c r="X137" i="1"/>
  <c r="V137" i="1"/>
  <c r="X129" i="1"/>
  <c r="X130" i="1" s="1"/>
  <c r="V129" i="1"/>
  <c r="V130" i="1" s="1"/>
  <c r="T129" i="1"/>
  <c r="T130" i="1" s="1"/>
  <c r="R129" i="1"/>
  <c r="R130" i="1" s="1"/>
  <c r="X126" i="1"/>
  <c r="V126" i="1"/>
  <c r="T116" i="1"/>
  <c r="T126" i="1" s="1"/>
  <c r="R116" i="1"/>
  <c r="R126" i="1" s="1"/>
  <c r="X109" i="1"/>
  <c r="V109" i="1"/>
  <c r="T107" i="1"/>
  <c r="T109" i="1" s="1"/>
  <c r="R107" i="1"/>
  <c r="R109" i="1" s="1"/>
  <c r="T86" i="1"/>
  <c r="R86" i="1"/>
  <c r="X81" i="1"/>
  <c r="V81" i="1"/>
  <c r="T81" i="1"/>
  <c r="R81" i="1"/>
  <c r="X73" i="1"/>
  <c r="X91" i="1" s="1"/>
  <c r="V73" i="1"/>
  <c r="V91" i="1" s="1"/>
  <c r="T71" i="1"/>
  <c r="T91" i="1" s="1"/>
  <c r="R71" i="1"/>
  <c r="R91" i="1" s="1"/>
  <c r="X64" i="1"/>
  <c r="V64" i="1"/>
  <c r="T60" i="1"/>
  <c r="R60" i="1"/>
  <c r="T59" i="1"/>
  <c r="R59" i="1"/>
  <c r="T56" i="1"/>
  <c r="R56" i="1"/>
  <c r="T55" i="1"/>
  <c r="R55" i="1"/>
  <c r="T54" i="1"/>
  <c r="R54" i="1"/>
  <c r="T53" i="1"/>
  <c r="R53" i="1"/>
  <c r="T52" i="1"/>
  <c r="R52" i="1"/>
  <c r="T51" i="1"/>
  <c r="R51" i="1"/>
  <c r="T50" i="1"/>
  <c r="R50" i="1"/>
  <c r="T49" i="1"/>
  <c r="R49" i="1"/>
  <c r="T48" i="1"/>
  <c r="R48" i="1"/>
  <c r="T47" i="1"/>
  <c r="R47" i="1"/>
  <c r="T46" i="1"/>
  <c r="R46" i="1"/>
  <c r="T45" i="1"/>
  <c r="R45" i="1"/>
  <c r="T44" i="1"/>
  <c r="T64" i="1" s="1"/>
  <c r="R44" i="1"/>
  <c r="R64" i="1" s="1"/>
  <c r="V40" i="1"/>
  <c r="T39" i="1"/>
  <c r="R39" i="1"/>
  <c r="T38" i="1"/>
  <c r="R38" i="1"/>
  <c r="T36" i="1"/>
  <c r="R36" i="1"/>
  <c r="T33" i="1"/>
  <c r="R33" i="1"/>
  <c r="T32" i="1"/>
  <c r="R32" i="1"/>
  <c r="T31" i="1"/>
  <c r="R31" i="1"/>
  <c r="T30" i="1"/>
  <c r="R30" i="1"/>
  <c r="T28" i="1"/>
  <c r="R28" i="1"/>
  <c r="T27" i="1"/>
  <c r="R27" i="1"/>
  <c r="T25" i="1"/>
  <c r="R25" i="1"/>
  <c r="T24" i="1"/>
  <c r="R24" i="1"/>
  <c r="T23" i="1"/>
  <c r="R23" i="1"/>
  <c r="T20" i="1"/>
  <c r="R20" i="1"/>
  <c r="T19" i="1"/>
  <c r="R19" i="1"/>
  <c r="T18" i="1"/>
  <c r="R18" i="1"/>
  <c r="X41" i="1"/>
  <c r="V41" i="1"/>
  <c r="T17" i="1"/>
  <c r="R17" i="1"/>
  <c r="T16" i="1"/>
  <c r="R16" i="1"/>
  <c r="T15" i="1"/>
  <c r="R15" i="1"/>
  <c r="T13" i="1"/>
  <c r="R13" i="1"/>
  <c r="T12" i="1"/>
  <c r="R12" i="1"/>
  <c r="T11" i="1"/>
  <c r="R11" i="1"/>
  <c r="T10" i="1"/>
  <c r="T41" i="1" s="1"/>
  <c r="R10" i="1"/>
  <c r="R41" i="1" s="1"/>
  <c r="K159" i="1" l="1"/>
  <c r="J37" i="1" l="1"/>
  <c r="K32" i="1" l="1"/>
  <c r="J125" i="1" l="1"/>
  <c r="J119" i="1"/>
  <c r="K13" i="1" l="1"/>
  <c r="K12" i="1"/>
  <c r="J67" i="1"/>
  <c r="K67" i="1" s="1"/>
  <c r="J85" i="1" l="1"/>
  <c r="K44" i="1" l="1"/>
  <c r="K86" i="1" l="1"/>
  <c r="K62" i="1"/>
  <c r="K58" i="1" l="1"/>
  <c r="I58" i="1"/>
  <c r="J94" i="1"/>
  <c r="J99" i="1"/>
  <c r="J98" i="1"/>
  <c r="J97" i="1"/>
  <c r="K164" i="1" l="1"/>
  <c r="K154" i="1"/>
  <c r="K155" i="1" s="1"/>
  <c r="I151" i="1"/>
  <c r="K149" i="1"/>
  <c r="K151" i="1" s="1"/>
  <c r="K146" i="1"/>
  <c r="I146" i="1"/>
  <c r="K142" i="1"/>
  <c r="I142" i="1"/>
  <c r="I137" i="1"/>
  <c r="J135" i="1"/>
  <c r="K135" i="1" s="1"/>
  <c r="K134" i="1"/>
  <c r="J133" i="1"/>
  <c r="K133" i="1" s="1"/>
  <c r="K130" i="1"/>
  <c r="I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I109" i="1"/>
  <c r="K108" i="1"/>
  <c r="K107" i="1"/>
  <c r="K106" i="1"/>
  <c r="K103" i="1"/>
  <c r="K99" i="1"/>
  <c r="K97" i="1"/>
  <c r="K96" i="1"/>
  <c r="K94" i="1"/>
  <c r="K90" i="1"/>
  <c r="K89" i="1"/>
  <c r="K88" i="1"/>
  <c r="K87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1" i="1"/>
  <c r="K60" i="1"/>
  <c r="I60" i="1"/>
  <c r="K59" i="1"/>
  <c r="I59" i="1"/>
  <c r="K57" i="1"/>
  <c r="I57" i="1"/>
  <c r="K56" i="1"/>
  <c r="K55" i="1"/>
  <c r="K54" i="1"/>
  <c r="K53" i="1"/>
  <c r="K52" i="1"/>
  <c r="K51" i="1"/>
  <c r="K50" i="1"/>
  <c r="K49" i="1"/>
  <c r="I49" i="1"/>
  <c r="K48" i="1"/>
  <c r="I48" i="1"/>
  <c r="I64" i="1" s="1"/>
  <c r="K47" i="1"/>
  <c r="K46" i="1"/>
  <c r="K45" i="1"/>
  <c r="I44" i="1"/>
  <c r="I41" i="1"/>
  <c r="K40" i="1"/>
  <c r="K39" i="1"/>
  <c r="K38" i="1"/>
  <c r="K36" i="1"/>
  <c r="K34" i="1"/>
  <c r="K33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1" i="1"/>
  <c r="K10" i="1"/>
  <c r="K41" i="1" l="1"/>
  <c r="K64" i="1"/>
  <c r="I165" i="1"/>
  <c r="K109" i="1"/>
  <c r="K91" i="1"/>
  <c r="K100" i="1"/>
  <c r="K126" i="1"/>
  <c r="K137" i="1"/>
  <c r="K166" i="1" l="1"/>
</calcChain>
</file>

<file path=xl/sharedStrings.xml><?xml version="1.0" encoding="utf-8"?>
<sst xmlns="http://schemas.openxmlformats.org/spreadsheetml/2006/main" count="1213" uniqueCount="475">
  <si>
    <t>ORDENANZA No. 19 DE 2018 DEL 30 DE JJULIO DE 2018</t>
  </si>
  <si>
    <t>Valor total estimado</t>
  </si>
  <si>
    <t xml:space="preserve">ADICION DEL PRESUPUESTAL </t>
  </si>
  <si>
    <r>
      <rPr>
        <b/>
        <sz val="14"/>
        <rFont val="Calibri"/>
        <family val="2"/>
      </rPr>
      <t>HONORARIOS</t>
    </r>
    <r>
      <rPr>
        <sz val="14"/>
        <rFont val="Calibri"/>
        <family val="2"/>
      </rPr>
      <t xml:space="preserve"> </t>
    </r>
  </si>
  <si>
    <t>AREA</t>
  </si>
  <si>
    <t>CODIGO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</si>
  <si>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</si>
  <si>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</si>
  <si>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</si>
  <si>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</si>
  <si>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</si>
  <si>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MES 2018</t>
  </si>
  <si>
    <t>Valor Total</t>
  </si>
  <si>
    <t>¿Se requieren vigencias futuras?</t>
  </si>
  <si>
    <t>Estado de solicitud de vigencias futuras</t>
  </si>
  <si>
    <t>Datos de contacto del responsable</t>
  </si>
  <si>
    <t>PLANEACION</t>
  </si>
  <si>
    <t>Enero</t>
  </si>
  <si>
    <t>contratación directa</t>
  </si>
  <si>
    <t>HONORARIOS</t>
  </si>
  <si>
    <t>NO</t>
  </si>
  <si>
    <t>CECILIA VIRVIESCAS BONNET AREA DE PALNEACION E INVENTARIOS</t>
  </si>
  <si>
    <t>Prestar los servicio profesionales de apoyo al area de planeacion e inventarios</t>
  </si>
  <si>
    <t>HONORAIROS</t>
  </si>
  <si>
    <t>CECILIA VIRVIESCAS BONNET- Area de planeacion e inventarios</t>
  </si>
  <si>
    <t>WILLIAM DUARTE</t>
  </si>
  <si>
    <t>ANDRES ORDOÑEZ</t>
  </si>
  <si>
    <t xml:space="preserve">MIDDE OFF </t>
  </si>
  <si>
    <t>DANIEL RIVERA MANJARRES (nuevo)</t>
  </si>
  <si>
    <t>Servicio de auditoria  de renovacion ISO 9001:2018 y NTC GP 1000. ICONTEC</t>
  </si>
  <si>
    <t>CECILIA VIRVIESCAS BONNET PLANEACION</t>
  </si>
  <si>
    <t>ICONTEC</t>
  </si>
  <si>
    <t>Prestar los servicios profesionales de apoyo y asesoría para la Actualización del sistema de gestión de calidad bajo las normas técnicas ICONTEC.</t>
  </si>
  <si>
    <t xml:space="preserve">HONORARIOS </t>
  </si>
  <si>
    <t>MARIA TERESA CORTES</t>
  </si>
  <si>
    <t>AREA JURIDICA</t>
  </si>
  <si>
    <t>Prestar los servicios profesionales como abogado del INSTITITUO Financiero para el  Desarrollo de Santander, en el  Area de juridica</t>
  </si>
  <si>
    <t>HERMES FERNANDO RICO CHARRY-Area juridica</t>
  </si>
  <si>
    <t>XIOMARA ACUÑA</t>
  </si>
  <si>
    <t>Prestar los servicios profesionales como abogado del Instituto Financiero para el  Desarrollo de Santander, actuar como apoderado en demandas en los temas de contratacion estatal..</t>
  </si>
  <si>
    <t>Jorge gualdron</t>
  </si>
  <si>
    <t>AREA FINANCIERA Y ADMON</t>
  </si>
  <si>
    <t>Prestar los servicios profesionales de asesoria al area fi.nanciera y Administrativa del  Instituto Financiero para el Desarrollo de Santander</t>
  </si>
  <si>
    <t>ANDRES SOLANO AGUILAR-Coordinador Grupo Financiero  y administrativo</t>
  </si>
  <si>
    <t>DIANA</t>
  </si>
  <si>
    <t>Prestar los servicios profesionales de contador publico que apoye contablemente y financieramente que permita realizar un analisis periodico de la situacion economica del instiotituo y sirva como base para la toma de decisiones.</t>
  </si>
  <si>
    <t>PEDRO SANABRIA</t>
  </si>
  <si>
    <t>OFICIAL DE CUMPLIMIENTO</t>
  </si>
  <si>
    <t>NOHELIA MARTINEZ</t>
  </si>
  <si>
    <t>Prestar los servicios profesionales  al area fi.nanciera y Administrativa del  Instituto Financiero para el Desarrollo de Santander</t>
  </si>
  <si>
    <t>ANDRES SOLANO AGUILAR COORDINADOR GRUPO FINANCIERO Y ADMINISTRATIVO</t>
  </si>
  <si>
    <t>LAURA RICO</t>
  </si>
  <si>
    <t>Prestar los servicios de apoyo al área comercial para el desarrollo y cumplimiento de su misión (PROVEEDORA DE PRECIOS)</t>
  </si>
  <si>
    <t>ENERO</t>
  </si>
  <si>
    <t>INFOVALMER</t>
  </si>
  <si>
    <t xml:space="preserve">Prestar los servicios de apoyo tecnico al Area Financiera y Administrativa del IDESAN </t>
  </si>
  <si>
    <t>RAFAEL ENRIQUE ORTIZ</t>
  </si>
  <si>
    <t>NANCY DEL SOCORRO</t>
  </si>
  <si>
    <t>Prestar los servicios profesionales como Ingeniera Financiera al Area Financiera y Administrativa del Instituto Financiero para el Desarrollo de Santander. IDESAN.</t>
  </si>
  <si>
    <t>DEYSI CHIRLEY</t>
  </si>
  <si>
    <t>CONVENIOS Y CARTERA</t>
  </si>
  <si>
    <t>Prestar los servicios profesionales de apoyo al area de convenios y cartera para el desarrollo y cumplimiento de su mision.</t>
  </si>
  <si>
    <t>AZUCENA PABON-area convenios</t>
  </si>
  <si>
    <t>ALEJANDRO REY</t>
  </si>
  <si>
    <t>Prestar los servicio como profesional de apoyo juridico al area de convenios y cartera para el desarrollo y cumplimiento de su mision</t>
  </si>
  <si>
    <t>ESTHEFANI MARQUEZ</t>
  </si>
  <si>
    <t>CONTRATO INFORMACIONFINANCIERA  CIFIN</t>
  </si>
  <si>
    <t>CIFIN</t>
  </si>
  <si>
    <t>COMERCIAL</t>
  </si>
  <si>
    <t>Prestar los servicios profesionales  de apoyo a la gestión de los creditos del area comercial del  Institutot Financiero para el Desarrollo de Santander</t>
  </si>
  <si>
    <t>JAIRO ALEXANDRA DUARTE HERNANDEZ ASESOR COMERCIAL</t>
  </si>
  <si>
    <t>PAOLA SALCEDO</t>
  </si>
  <si>
    <t>Prestar los servicios de apoyo al area comercial para el desarrollo y cumplimiento de su mision</t>
  </si>
  <si>
    <t>CAMILO ANDRES MEJIA</t>
  </si>
  <si>
    <t>Prestar los servicios profesionales  al area comercial del  Instituto Financiero para el Desarrollo de Santander</t>
  </si>
  <si>
    <t xml:space="preserve">HUMBERTO </t>
  </si>
  <si>
    <t>MARY LUZ</t>
  </si>
  <si>
    <r>
      <t>“</t>
    </r>
    <r>
      <rPr>
        <sz val="8"/>
        <rFont val="Arial Narrow"/>
        <family val="2"/>
      </rPr>
      <t>“El contratista de manera autónoma se obliga a prestar al Instituto Financiero para el Desarrollo de Santander “IDESAN”  sus servicios profesionales de calificación de riesgo y capacidad de pago otorgando la calificación al Instituto conforme la escala y procedimiento de calificación establecido para la deuda de corto y largo plazo por parte de la calificadora de acuerdo con los términos establecidos en la Ley 819 de 2.003, el Decreto 610 de 2.002, el Decreto 1525 de 2.008 y Decreto 1117 de 2.013”</t>
    </r>
  </si>
  <si>
    <t>GERENCIA</t>
  </si>
  <si>
    <t>Prestar los servicios profesionales como revisor fiscal del IDESAN</t>
  </si>
  <si>
    <t>GILBERTO MENDOZA ARDILA GERENTE</t>
  </si>
  <si>
    <t>MARIO SAVEDRA</t>
  </si>
  <si>
    <t>Octubre</t>
  </si>
  <si>
    <t>COLCHON</t>
  </si>
  <si>
    <t>Prestar los servicios profesionales en el manejo de las comunicaciones del instituto</t>
  </si>
  <si>
    <t>CRISTIAN EDUARDO</t>
  </si>
  <si>
    <t>AREA DE CONTROL INTERNO</t>
  </si>
  <si>
    <t>prestar los servicios profesionales de apoyo Al area de control interno</t>
  </si>
  <si>
    <t>PAOLA RAMIREZ -CONTROL INTERNO</t>
  </si>
  <si>
    <t>ANGELICA</t>
  </si>
  <si>
    <t>REMUNERACION POR SERVICIOS TECNICOS</t>
  </si>
  <si>
    <t>AREA DE PLANEACION E INV</t>
  </si>
  <si>
    <t>Prestar sus servicios de  apoyo, a la gestión en el area de planeacion e inventarios del IDESAN.</t>
  </si>
  <si>
    <t>REMUNERACION POR SERVICIOS</t>
  </si>
  <si>
    <t>MAGALY</t>
  </si>
  <si>
    <t>Prestar los servicios de mano de obra para el mantenimiento de las instalaciones del IDESAN</t>
  </si>
  <si>
    <t>Septiembre</t>
  </si>
  <si>
    <t>CARLOS</t>
  </si>
  <si>
    <t>Apoyo al Area de Planeacion e Inventarios en la administracion y custodia del archivo central e historico del IDESAN, de conformidad con la Ley General de Archivos.</t>
  </si>
  <si>
    <t>NATHALY SANDOVAL</t>
  </si>
  <si>
    <t>JOSE LUIS</t>
  </si>
  <si>
    <t>Prestar sus servicios de  apoyo, a la gestión en el area juridica del IDESAN.</t>
  </si>
  <si>
    <t>octubre</t>
  </si>
  <si>
    <t>MARIATERESA</t>
  </si>
  <si>
    <t>ANAMARIA</t>
  </si>
  <si>
    <t>SEBASTIAN HERNADEZ</t>
  </si>
  <si>
    <t>SERGIO DURAN</t>
  </si>
  <si>
    <t>CONTROL INTERNO</t>
  </si>
  <si>
    <t>PAOLA ANDREA RAMIREZ JIMENEZ</t>
  </si>
  <si>
    <t>SILVIA NIÑO</t>
  </si>
  <si>
    <t>Prestar os servicios de apoyo a a gestion del asesor de Control Interno</t>
  </si>
  <si>
    <t>MARIA INES</t>
  </si>
  <si>
    <t>ANDRES SOLANO AGUILAR-Area financiera y administrativa</t>
  </si>
  <si>
    <t>MILENA ARENAS</t>
  </si>
  <si>
    <t>Prestar los  servicios admiistrativos al Area de convenios y cartera para el desarrollo y cumplimiento de su mision.</t>
  </si>
  <si>
    <t>YUDI BLANCO</t>
  </si>
  <si>
    <t>Prestar los  servicios admiistrativos al Area  de convenios y cartera para el desarrollo y cumplimiento de su mision.</t>
  </si>
  <si>
    <t>LILIANA CRISTANCHO</t>
  </si>
  <si>
    <t>AREA COMERCIAL</t>
  </si>
  <si>
    <t>Prestar sus servicios de  apoyo, a la gestión en el area comerciual del IDESAN.</t>
  </si>
  <si>
    <t>JAIRO A. DUARTE-Area comercial</t>
  </si>
  <si>
    <t>VIVIANA RINCON</t>
  </si>
  <si>
    <t>Prestar sus servicios de  apoyo, a la gestión en el area comercial del IDESAN.</t>
  </si>
  <si>
    <t>YENI PAOLA RICON</t>
  </si>
  <si>
    <t>TESORERIA</t>
  </si>
  <si>
    <t>Prestar los servicios de apoyo a la gestión, para la mensajería del Instituto Financiero de Santander</t>
  </si>
  <si>
    <t>BENJAMIN EDUARDO  HERRERA- Tesorero</t>
  </si>
  <si>
    <t>WISON CADENA</t>
  </si>
  <si>
    <r>
      <t>Prestar los servicios de apoyo  y acompañamiento finnanciero y tramites administrativos a la Tesoreria del IDESAN.</t>
    </r>
    <r>
      <rPr>
        <b/>
        <sz val="8"/>
        <rFont val="Calibri"/>
        <family val="2"/>
      </rPr>
      <t xml:space="preserve"> </t>
    </r>
  </si>
  <si>
    <t>LEOMARI PINZON</t>
  </si>
  <si>
    <t>JUAN CARLOS VARGAS</t>
  </si>
  <si>
    <t>Prestar los servicios de apoyo como conductor de los vehículos de propiedad del Instituto Financiero para el desarrollo de Santander “IDESAN” destinados para el desplazamiento del gerente y funcionarios en desarrollo de sus funciones que sean designadas para dar cumplimiento al objeto contractual.</t>
  </si>
  <si>
    <t>GILBERTO MENDOZA ARDILA -GERENTE</t>
  </si>
  <si>
    <t>VLADIMIR AYALA ROJAS</t>
  </si>
  <si>
    <t>Prestar los servicios de apoyo a la gerencia</t>
  </si>
  <si>
    <t>Abril</t>
  </si>
  <si>
    <t>CONVENIO 1113 de 2016</t>
  </si>
  <si>
    <t>72141000 81101500 80161500 80111600</t>
  </si>
  <si>
    <t>Ejecución convenio 1113-2016</t>
  </si>
  <si>
    <t>N/A</t>
  </si>
  <si>
    <t>CONVENIO 1113-2016</t>
  </si>
  <si>
    <t>GILBERTO MENDOZA ARDILA-GERENTE</t>
  </si>
  <si>
    <t>Prestar los servicio de apoyo profesional como abogado dentro del marco del convenio Interadministrativo de cooperación 1113 de 2016.</t>
  </si>
  <si>
    <t>enero</t>
  </si>
  <si>
    <t>Mantenimiento Rutinarios, en las vías a cargo de IDESAN, RUTA 6602 LA Fortuna-Bucaramanga, Sector Lebrija-Puente Palenque, PR 60+0000 al PR 71+500. Incluye 4 retornos, el Intercambiador del Palenque y el Intercambiador Peaje Lebrija y Vía Intercambiador Peaje Lebrija-Aeropuerto Palonegro</t>
  </si>
  <si>
    <t>licitacion publica</t>
  </si>
  <si>
    <t>Mantenimiento Rutinarios, en las vías a cargo de IDESAN, RUTA 45A08 Bucaramanga-San Alberto, Sector Puente la Cemento-Rionegro, PR 0+0000 al PR 18+0000. Incluye  el retorno la Cemento Vía Bucaramanga-Rionegro, Sector la Virgen-Puente la Cemento</t>
  </si>
  <si>
    <t>Mantenimiento Rutinarios, en las vías a cargo de IDESAN, RUTA 45AST08  Floridablanca-Palenque-La Cemento, Sector palenque - La Cemento PR 10+0000-PR 21+0735, Incluye 4 Retornos Vía Girón - Bucaramanga, Sector PR71+5001-pr 78+100 (Incluye Retornos)</t>
  </si>
  <si>
    <t>La contratación de una aseguradora legalmente establecida con el objeto de contratar los seguros de responsabilidad civil extracontractual de los tramos viales administrados por el "IDESAN"</t>
  </si>
  <si>
    <t>abril</t>
  </si>
  <si>
    <t>selección abreviada de menor cuantía</t>
  </si>
  <si>
    <t>Administracion vial de las carreteras nacionales a cargo del instituto "IDESAN"</t>
  </si>
  <si>
    <t>concurso de meritos abierto</t>
  </si>
  <si>
    <t>SI</t>
  </si>
  <si>
    <t>Obras de señalizacion y seguridad vial en carreteras a cargo de "IDESAN"</t>
  </si>
  <si>
    <t>Prestar los servicios profesionales de apoyo tecnico,dentro del marco del convenio interadministrativo No.1113 del 2016.</t>
  </si>
  <si>
    <t>Prestar los servicios profesionales de apoyo tecnico,trabaador social dentro del marco del convenio interadministrativo No.1113 del 2016.</t>
  </si>
  <si>
    <t>Febrero</t>
  </si>
  <si>
    <t>Prestar los servicios profesionales de apoyo tecnico-ambiental dentro del marco del convenio interadministrativo No.1113 del 2016.</t>
  </si>
  <si>
    <t>Otros Gastos Financieros y de Administracion</t>
  </si>
  <si>
    <t>julio</t>
  </si>
  <si>
    <t>Atención Obras de Emergencia por el sistema de monto agotable en las vias a cargo del instituto financiero para el desarrollo de Santander-IDESAN</t>
  </si>
  <si>
    <t>Marzo</t>
  </si>
  <si>
    <t>56101703 56121805 56111904</t>
  </si>
  <si>
    <t>Compra de escritorios, sillas, archivadores</t>
  </si>
  <si>
    <t>minima cuantia</t>
  </si>
  <si>
    <t>COMPRA DE EQUIPO</t>
  </si>
  <si>
    <t xml:space="preserve"> 44121716 44121706 44122104 44122100 14111507 31201512 14111508 44121802 44122003 44122017 44121615 26111702 44122107 14111504 44121904  44121618 44121613  44121800 44121631 44122000 44121708 44121503 44121701 44122104 44121636 44121630</t>
  </si>
  <si>
    <t>Compra de artículos de papelería y artículos de oficina vigencia 2017.</t>
  </si>
  <si>
    <t>FEBRERO</t>
  </si>
  <si>
    <t>Mínima cuantía</t>
  </si>
  <si>
    <t>MATERIALES Y SUMINISTROS</t>
  </si>
  <si>
    <t xml:space="preserve">Prestar os servicios profesionales  para la calificacionn de la deuda asociadan al encargo fiduciario  convenio 1113 de 2016 </t>
  </si>
  <si>
    <t>Obras de rehabilitacion, construccion y mantenimiento de las vias que se encuentran a cargo del IDESAN</t>
  </si>
  <si>
    <t>Interventoria de rehabilitacion, construccion y mantenimiento de vias que se encuentran a cargo del IDESAN</t>
  </si>
  <si>
    <t>consultoria</t>
  </si>
  <si>
    <t>interventoria operativa, administrativa, ffinanciera y de sistemas al controto de concesion para que opere, organice y gestionbe totalmente el servicio del recaudo de las tasas de peae y para la opperacion de pesaes a nombre de IDESAN</t>
  </si>
  <si>
    <t>Estudios y Diseños para la construccion y rehabilitacion de las vias que se encuentran a cargo de IDESAN</t>
  </si>
  <si>
    <t>Interventoria a estudios y disÑeos para la construcción y rehabilitación de las vías que se encuentran a cargo del IDESAN</t>
  </si>
  <si>
    <t>AREA DE SISTEMAS</t>
  </si>
  <si>
    <t>43211507 43211508 43212105</t>
  </si>
  <si>
    <t>computadores, impresoras UPS, Scanner</t>
  </si>
  <si>
    <t>Junio</t>
  </si>
  <si>
    <t>CLAUDIA HERNANDEZ - SISTEMAS</t>
  </si>
  <si>
    <t>compra de licecncias windows</t>
  </si>
  <si>
    <t>compra de un Storage</t>
  </si>
  <si>
    <t>Compra de aires acondicionados</t>
  </si>
  <si>
    <t>Julio</t>
  </si>
  <si>
    <t>Minima cuantia</t>
  </si>
  <si>
    <t>AREA DE PLANEACION E INVENTARIOS</t>
  </si>
  <si>
    <t>CECILIA VIRVIESCAS BONNET</t>
  </si>
  <si>
    <t>Compra de lamapara y accesosrios</t>
  </si>
  <si>
    <t xml:space="preserve">MATERIALES  Y SUMINISTROS </t>
  </si>
  <si>
    <t>RENOVACION LICENCIA ANTIVIRUS ESET SMART SECURITY, PARA USUARIO, SERVIDOR, MENSAJERIA Y MS SMALL BUSINESS SERVER BUNDLEA, LICENCIA POR 1 AÑO. FUNCIONES PRINCIPALES: ANTIVIRUS, ANTISPYWARE, FIREWALL, ANTISPAM, CONTROL PRENTAL. Derecho a instalación y soporte técnico gratuito presencial y demás componentes que el fabricante llegue a liberar durante el año.</t>
  </si>
  <si>
    <t>DICIEMBRE</t>
  </si>
  <si>
    <t>CLAUDIA HERNANDEZ - Tecnica sistemas</t>
  </si>
  <si>
    <t xml:space="preserve">RENOVACION LICENCIA, FIREWALL, </t>
  </si>
  <si>
    <t>marzo</t>
  </si>
  <si>
    <t xml:space="preserve">Compra de ariculos de cafeteria y aseo para las Instalaciones del IDESAN </t>
  </si>
  <si>
    <t>44103103 44103105</t>
  </si>
  <si>
    <t>Compra de tintas y tonner para las impresoras del Instituto.</t>
  </si>
  <si>
    <t>El Contratista se obliga con el Instituto a realizar el suministro de gasolina y acpm para los vehículos , motocicletas y planta de emergencia del instituto IDESAN.</t>
  </si>
  <si>
    <t>HILDA BECERRA TORRES Secretaria Ejecutiva</t>
  </si>
  <si>
    <t>Compra de artículos de papelería y artículos de oficina vigencia 2018.</t>
  </si>
  <si>
    <t xml:space="preserve">MANTENIMIENTO </t>
  </si>
  <si>
    <t>Desarrollo y mantenimiento preventivo, correctivo y revisión permanente al Software Financiero XEO en mención a los siguientes módulos: Contabilidad- Activos Fijos, Presupuesto, Nomina, Cartera Financiera y Ahorros, Central de riesgos de Cartera – Cifín, Descuentos por Libranza, Convenios antiguo y Convenios (nuevo modulo), Gerencial de Contabilidad y Control de cartera financiera de terceros, colocaciones especiales, el GAP de liquidez y el módulo de la DIAN; para su buen y correcto funcionamiento</t>
  </si>
  <si>
    <t>MANTENIMIENTO</t>
  </si>
  <si>
    <t>Mantenimiento,  administración y desarrollo  del  Portal Web e Internet  y servicio HOSTING para elportalWB del Instituto Financiero para el Desarrollo de Santander – IDESAN www.idesan.gov.co, manteniendo actualizado los lineamientos vigentes de la Estrategia de Gobierno en Línea, manteniendo un backup de todo el servidor con las cuentas de correo respectivo y mantener actualizada la intranet</t>
  </si>
  <si>
    <t>Mantenimiento preventivo, correctivo, revision, permanente, capacitaciones y actualizacioners para el software Administracion Documental DOCUADMIN.</t>
  </si>
  <si>
    <t>Agosto</t>
  </si>
  <si>
    <t>24101601 72154010</t>
  </si>
  <si>
    <t xml:space="preserve">Mantenimiento modernizacion y actualizacion del ascensor </t>
  </si>
  <si>
    <t>CECILIA VIRVIESCAS BONNET- AREA DE PLANEACION E INVENTARIOS</t>
  </si>
  <si>
    <t>El mantenimiento y soporte al equipo de telecomunicacioes: al conmutador telefonico PANASONIC KX-TEM 824 de propiedad de IDESAN  instalado en las oficinas del Institutoo para la vigencia.</t>
  </si>
  <si>
    <t>Mantenimiento prefentivo y correctivo de los aires acondicionados, Planta central</t>
  </si>
  <si>
    <t>febrero</t>
  </si>
  <si>
    <t>Realizar el mantenimiento preventivo y correctivo del parque automotor de propiedad del Instituto, incluido los repuestos a que haya lugar durante la vigencia.</t>
  </si>
  <si>
    <t xml:space="preserve">Prestar los servicios de apoyo a la gestión al Instituto para el Desarrollo de Santander “IDESAN”, buscando la preservación y mantenimiento de las instalaciones desarrollando las actividades relacionadas a los oficios varios. </t>
  </si>
  <si>
    <t>ANDRES SOLANO AGUILAR</t>
  </si>
  <si>
    <t>ZORAIDA ACOSTA</t>
  </si>
  <si>
    <t>Mantenimiento recarga extintores</t>
  </si>
  <si>
    <t>NOVIEMBRE</t>
  </si>
  <si>
    <t>Realizar el mantenimiento preventivo y correctivo a los equipos electromecánicos de propiedad del IDESAN ubicado en el edifico sede del Instituto para la vigencia.</t>
  </si>
  <si>
    <t>Mantenimiento edificio sede del  IDESAN , pintura, impermeabilizacion, enchape muros entrada y muros de ascensor, arreglo humedades, pulida escaleras, desmanche y limpieza fachada, arreglo cabina interior ascensor , dry wall sala de juntas</t>
  </si>
  <si>
    <t>ABRIL</t>
  </si>
  <si>
    <t xml:space="preserve">CAPACITACION </t>
  </si>
  <si>
    <t>Capacitacion funcionarios Idesan</t>
  </si>
  <si>
    <t>MARZO</t>
  </si>
  <si>
    <t>CAPACITACION</t>
  </si>
  <si>
    <t xml:space="preserve">IMPRESOS Y PUBLICACIONES </t>
  </si>
  <si>
    <t>14111526 44121700 44112000 73151905 73151905 46181506 55121700 82121500 82101500</t>
  </si>
  <si>
    <t>Compra de artículos publicitarios;  libretas media carta papel bond,  lapiceros color negro, agendas tamaño, portafolios institucionales, carpetas institucionales sobres tamaños estándar con ventana bond blanco, USB tipo bolígrafo,  ponchos, apuntadores laser slim cargd.</t>
  </si>
  <si>
    <t>IMPRESOS Y PUBLICACIONES</t>
  </si>
  <si>
    <t>JAIRO ALEXANDER DUARTE HERNANDEZ ASESOR COMERCIAL</t>
  </si>
  <si>
    <t>82101601 82101504 82101503</t>
  </si>
  <si>
    <t>Plan de medios institucional pautas radial , prensa y televisión.</t>
  </si>
  <si>
    <t>49221500 53102500 53101600</t>
  </si>
  <si>
    <t xml:space="preserve">Compra de  camisas tipo polo y cachuchas o gorras publicitarias para el fortalecimiento de la imagen del instituto Financiera para el desarrollo de Santander. </t>
  </si>
  <si>
    <t xml:space="preserve">Acceso a publicación electrónica, por el medio de consultas de elección IP de las siguientes publicaciones: CÓDIGO DE COMERCIO, CÓDIGO DE PROCEDIMIENTO ADMINISTRATIVO Y DE LO CONTENCIOSO ADMINISTRATIVO, CÓDIGO GENERAL DEL PROCESO, COLECCIÓN VIRTUAL TRIBUTARIA Y CONTABLE – RENTA  - IVA - PLAN CONTABILIDAD PÚBLICA, MINUTAS Y MODELOS, RÉGIMEN DEL EMPLEADO OFICIAL, RÉGIMEN DE PROCEDIMIENTO TRIBUTARIO, ERUDITO DE CONTRATACIÓN ADMINISTRATIVA, CONSTITUCIÓN POLÍTICA, CÓDIGO PENAL, Entregar las publicaciones en medio físico con hojas sustituibles: CÓDIGO DE PROCEDIMIENTO ADMINISTRATIVO Y DE LO CONTENCIOSO ADMINISTRATIVO, ERUDITO DE CONTRATACIÓN ADMINISTRATIVA, PROCEDIMIENTO CIVIL, REGIMEN DEL EMPLEADO OFICIAL, Entregar las claves de acceso a los usuarios según lo dispuesto por el Instituto y la certificación de afiliación por un (1) año de  servicio. </t>
  </si>
  <si>
    <t>HERMES FERNANDO RICO CHARRY- Area Juridica</t>
  </si>
  <si>
    <t xml:space="preserve">COMUNICACIÓN Y TRANPORTE </t>
  </si>
  <si>
    <t xml:space="preserve">Prestar los servicios de reparto de correspondencia del Instituto Financiero para el Desarrollo de Santander a nivel urbano, municipal y nacional. </t>
  </si>
  <si>
    <t>COMUNICACIÓN Y TRANSPORTE</t>
  </si>
  <si>
    <t>Transporte local.</t>
  </si>
  <si>
    <t xml:space="preserve">SEGUROS </t>
  </si>
  <si>
    <t>84131501 84131512 84131503 84131601 84131602 84131604 84131605 84131607</t>
  </si>
  <si>
    <t xml:space="preserve">EL CONTRATISTA se obliga para con el Instituto a expedir las pólizas de seguros reales y patrimoniales para los bienes muebles e inmuebles del Instituto y los funcionarios. </t>
  </si>
  <si>
    <t>MAYO</t>
  </si>
  <si>
    <t>LICITACION</t>
  </si>
  <si>
    <t>SEGUROS</t>
  </si>
  <si>
    <t xml:space="preserve">ADQUISICION DE SERVICIOS </t>
  </si>
  <si>
    <t>Cuota afiliación sostenimiento INFIS</t>
  </si>
  <si>
    <t>JUNIO</t>
  </si>
  <si>
    <t>OTROS GASTOS ADQUISISCIONES SERVICIOS</t>
  </si>
  <si>
    <t>EVENTOS</t>
  </si>
  <si>
    <t>Servicio de gerencia eventos</t>
  </si>
  <si>
    <t xml:space="preserve">BIENESTAR SOCIAL </t>
  </si>
  <si>
    <t>Salud ocupacional.</t>
  </si>
  <si>
    <t>AGOSTO</t>
  </si>
  <si>
    <t>Selecccion abreviada</t>
  </si>
  <si>
    <t>SALUD OCUPACIONAL</t>
  </si>
  <si>
    <t>Bienestar Social</t>
  </si>
  <si>
    <t>BIENESTAR SOCIAL</t>
  </si>
  <si>
    <t>VALOR TOTAL PLAN 2018</t>
  </si>
  <si>
    <t>Elaboro: William Mauricio Duarte Salinas</t>
  </si>
  <si>
    <t xml:space="preserve">                   Apoyo Profesional Planeación</t>
  </si>
  <si>
    <t xml:space="preserve"> PLAN ANUAL DE ADQUISICIONES 2019</t>
  </si>
  <si>
    <t xml:space="preserve">Mantenimiento preventivo y correctivo a los equipos de computo, impresoras y escaner del IDESAN </t>
  </si>
  <si>
    <t>Mantenimiento preventivo,correctivo, revision permanente, capacitaciones ,actualizaciones y diseño de la ventanilla unica del Instituto para el software administracion documental DOCUADMIN.</t>
  </si>
  <si>
    <t>50161509 47131700 47131812 47131807 47121700 47131803 42132205 53131608 52151504 52121600 10171702 52151504 52151503 50201709 56141600 42132200 15121500 47131600 52152100</t>
  </si>
  <si>
    <t>MODIF.2</t>
  </si>
  <si>
    <t>ANDRES MAURICIO MEJIA</t>
  </si>
  <si>
    <t>MODIF 1 MODIF 3</t>
  </si>
  <si>
    <t>MODIF.2 MODIF.4</t>
  </si>
  <si>
    <t>MODIF.2 MODIDF.4</t>
  </si>
  <si>
    <t> Prestar el servicio de alojamiento de sistemas de información en Data Center externo y servicios conexos de servidor privado virtual 8VPS) en modelo de alta disponibilidad, para el aseguramiento de la continuidad del servicio en los sistemas de información requeridos por el Idesan.</t>
  </si>
  <si>
    <t>MODIF.4</t>
  </si>
  <si>
    <t>Prestar los servicios profesionales y de  de apoyo a la gestion para desarrollar el segumiiento y mejora continua del SGC bajo la norma NTC - ISO 9001.2015 y su adecuacion para la implementacion  del modelo Integral de Planeaciony Gestion - MIPG, en el Instituto.</t>
  </si>
  <si>
    <t>PROFESIONAL DE RIESGO Y OFICIAL DECUMPLIMIENTO</t>
  </si>
  <si>
    <t>modif 5</t>
  </si>
  <si>
    <t>modif.5</t>
  </si>
  <si>
    <t>MODIF.5</t>
  </si>
  <si>
    <t xml:space="preserve">Prestación de servicios profesionales especializados de protección de datos personales, para el cumplimiento de la ley 1581 de 2012.”. </t>
  </si>
  <si>
    <t xml:space="preserve">MODIF.2 MODIF.4 modif.5 </t>
  </si>
  <si>
    <t xml:space="preserve">MODIF.1 MODI. 2 MODIF.3 MODIF.4 MODIF.6 </t>
  </si>
  <si>
    <t>prestar los servicios profesionales de apoyo a la gerencia</t>
  </si>
  <si>
    <t>Prestar los servicios profesionales para gestionar el análisis de riesgo crediticio y brindar asesorías en actualizaciones del manual de crédito</t>
  </si>
  <si>
    <t>INSENTIVOS</t>
  </si>
  <si>
    <t xml:space="preserve">“Prestar los servicios para el desarrollo del proyecto denominado" Capacitando y Promoviendo el Desarrollo de nuestra Región a realizar en las provincias del Departamento de Santander.”. </t>
  </si>
  <si>
    <t>I TRIMESTRE</t>
  </si>
  <si>
    <t>II TRIMESTRE</t>
  </si>
  <si>
    <t>NOMBRE CONTRATISTA</t>
  </si>
  <si>
    <t>VALOR A CONTRATAR</t>
  </si>
  <si>
    <t>RP</t>
  </si>
  <si>
    <t>VALOR CONTRATADO</t>
  </si>
  <si>
    <t>JOSE ALEANDRO LOPEZ</t>
  </si>
  <si>
    <t>N.2648 2019-01-17 N.2788 2019-03-14</t>
  </si>
  <si>
    <t>N.2865 2019-05-09</t>
  </si>
  <si>
    <t>WILLIAM  MAURICIO DUARTE</t>
  </si>
  <si>
    <t>N.2638 2019-01-16 N.2779 2019-03-14</t>
  </si>
  <si>
    <t>N.2862 2019-05-09</t>
  </si>
  <si>
    <t>N.2676 2019-01-21 N.2811 2019-03-20</t>
  </si>
  <si>
    <t>DANIEL RIVERA</t>
  </si>
  <si>
    <t>N.2868 2019-05-10</t>
  </si>
  <si>
    <t>N.2660 2019-01-18 N.2809 2019-03-20</t>
  </si>
  <si>
    <t>N.2952 2019-06-18</t>
  </si>
  <si>
    <t>N.2651 2019-01-17 N.2801 2019-03-18</t>
  </si>
  <si>
    <t>N.2594 2019-01-02 N.2747 2019-02-27</t>
  </si>
  <si>
    <t>N.2828 2019-04-03</t>
  </si>
  <si>
    <t>N.2622 2019-01-14 N.2770 2019-03-13</t>
  </si>
  <si>
    <t>FABIAN ANDRES VARGAS - JORGE GUALDRON</t>
  </si>
  <si>
    <t>N.2950 2019-06-17 N.2878 2019-05-13</t>
  </si>
  <si>
    <t>nota: el RP  de Jorge Gualdron era por $30.000.000 pero solo se ejecutaron $5.000.000</t>
  </si>
  <si>
    <t>N.2658 2019-01-18 N.2804 2019-03-18</t>
  </si>
  <si>
    <t>N.2908 2019-05-27</t>
  </si>
  <si>
    <t>N.2635 2019-01-16 N.2781 2019-03-14</t>
  </si>
  <si>
    <t>N.2877 2019-05-14</t>
  </si>
  <si>
    <t>N.2654 2019-01-17 N.2799 2019-03-18</t>
  </si>
  <si>
    <t>N.2661  2019-01-18 N.2803 2019-03-18</t>
  </si>
  <si>
    <t>N.2879 2019-05-14</t>
  </si>
  <si>
    <t>N.2659 2019-01-18 N.2805 2019-03-18</t>
  </si>
  <si>
    <t>N.2650 2019-01-17 N.2798 2019-03-18</t>
  </si>
  <si>
    <t>N.2874 2019-06-14</t>
  </si>
  <si>
    <t>TAIDE GISELLE BOTELLO VELAZCO</t>
  </si>
  <si>
    <t>N.2969 2019-06-26</t>
  </si>
  <si>
    <t>N.2630 2019-01-15 N.2771 2019-03-13</t>
  </si>
  <si>
    <t>N.2863 2019-06-13</t>
  </si>
  <si>
    <t>N.2653 2019-01-17 N.2800 2019-03-18</t>
  </si>
  <si>
    <t>N.2913 2019-05-28</t>
  </si>
  <si>
    <t>N.2662 2019-01-18 N.2787 2019-03-14</t>
  </si>
  <si>
    <t>N.2873 2019-04-30</t>
  </si>
  <si>
    <t>N.2636 2019-01.16 N.2783 2019-03-14</t>
  </si>
  <si>
    <t>N.2870 2019-05-10</t>
  </si>
  <si>
    <t>N.2629 2019-01-15 N.2775 2019-03-13</t>
  </si>
  <si>
    <t>N.2652 2019-01-17 N.2797 2019-03-18</t>
  </si>
  <si>
    <t>FERSACO</t>
  </si>
  <si>
    <t>N.2970 2019-06-26</t>
  </si>
  <si>
    <t>N.2685 2019-01-23 N.2814 2019-03-20</t>
  </si>
  <si>
    <t>N.2897 2019-05-20</t>
  </si>
  <si>
    <t>N.2623 2019-01-15 N.2773 2019-03-13</t>
  </si>
  <si>
    <t>N.2864 2019-05-09</t>
  </si>
  <si>
    <t>N.2647 2019-01-17 N.2789 2019-03-14</t>
  </si>
  <si>
    <t>ANGELICA MARIA SALCEDO</t>
  </si>
  <si>
    <t>N.2896 2019-05-20</t>
  </si>
  <si>
    <t>N.2704 201-01-30</t>
  </si>
  <si>
    <t>N.2829 2019-04-03 N.2876 2019-06-18</t>
  </si>
  <si>
    <t>N.2642 2019-01-16 N.2782 2019-03-14</t>
  </si>
  <si>
    <t>N.2912 2019-05-28</t>
  </si>
  <si>
    <t>CARLOS PEDRAZA</t>
  </si>
  <si>
    <t>N.2641 2019-01-16 N.2780 2019-03-14</t>
  </si>
  <si>
    <t>N.2914 2019-05-30</t>
  </si>
  <si>
    <t>N.2632 2019-01-15 N.2778 2019-03-14</t>
  </si>
  <si>
    <t>N.2867 2019-05-10</t>
  </si>
  <si>
    <t>N.2628 2019-01-15 N .2772 2019-03-13</t>
  </si>
  <si>
    <t>N..2895 2019-05-20</t>
  </si>
  <si>
    <t>N.2655 2019-01.18 N.2808 2019-03-20</t>
  </si>
  <si>
    <t>N.2898 2019-05-20</t>
  </si>
  <si>
    <t>N.2682 2019-01-21 N.2813 2019-03-20</t>
  </si>
  <si>
    <t>N.2880 2019-05-14</t>
  </si>
  <si>
    <t>N.2678 2019-01-21 N.2812 2019-03-20</t>
  </si>
  <si>
    <t>N.2657 2019-01-18 N.2802 2019-03-18</t>
  </si>
  <si>
    <t>N.2875 2019-05-13</t>
  </si>
  <si>
    <t>N.2646 2019-01-17 N.2796 2019-03-18</t>
  </si>
  <si>
    <t>N.2878 2019-05-14</t>
  </si>
  <si>
    <t>N.2627 2019-01-15 N.2774 2019-03-13</t>
  </si>
  <si>
    <t>N.2866 2019-05-09</t>
  </si>
  <si>
    <t>N.2645 2019-01-17 N.2795 2019-03-18</t>
  </si>
  <si>
    <t>N.2910 2019-05-27</t>
  </si>
  <si>
    <t>N..2637 2019-01-16 N.2786 2019-03-14</t>
  </si>
  <si>
    <t>N.2869 2019-05-10</t>
  </si>
  <si>
    <t>N.2677 2019-01-21 N.2810 2019-03-20</t>
  </si>
  <si>
    <t>N.2631 2019-01-15</t>
  </si>
  <si>
    <t>N.2639 2019-01-16 N.2785 2019-03-14</t>
  </si>
  <si>
    <t>N28944 2019-05-20</t>
  </si>
  <si>
    <t>N.2640 2019-01-16 N.2784 2019-03-14</t>
  </si>
  <si>
    <t>N.2907 2019-05-24</t>
  </si>
  <si>
    <t>N.2595 2019-01-02</t>
  </si>
  <si>
    <t>FLOR SMIT</t>
  </si>
  <si>
    <t>N.2593 2019-01-02</t>
  </si>
  <si>
    <t>GERARDO JOSE RUGELES</t>
  </si>
  <si>
    <t>N.2624 2019-01-15</t>
  </si>
  <si>
    <t>N.2957 2019-06-21</t>
  </si>
  <si>
    <t>COOPERATIVA DE TRABAJO ASOCIADO PARA LA PARA LA PRESTACION DE SERVICIOS CAMINO</t>
  </si>
  <si>
    <t>N.2606 2019-01-11</t>
  </si>
  <si>
    <t>COOPERATIVA DE TRABAJO ASOCIADO LA PAZ</t>
  </si>
  <si>
    <t>N.2607 2019-01-11 N.2649 2019-01-17</t>
  </si>
  <si>
    <t>COOPERATIVA DE TRABAJO ASOCIADO PARA MANTENIMIENTO Y CONSERVACION</t>
  </si>
  <si>
    <t>N.2608 2019-01-11</t>
  </si>
  <si>
    <t>ASEGURADORA SOLIDARIA EQUIDAD SEGUROS</t>
  </si>
  <si>
    <t>N.2830 2019-04-03 N.2856 2019-05-02</t>
  </si>
  <si>
    <t>CONSORCIO GYG</t>
  </si>
  <si>
    <t>N.2609 2019-01-11</t>
  </si>
  <si>
    <t>SEÑALES LTDA</t>
  </si>
  <si>
    <t>N.2733-2019-02-18</t>
  </si>
  <si>
    <t>JORGE RAFAEL MONTERO</t>
  </si>
  <si>
    <t>N.2665 2019-01-11</t>
  </si>
  <si>
    <t>DAGOBERTO RAFAEL ROCHA</t>
  </si>
  <si>
    <t>N.2626 2019-01-15</t>
  </si>
  <si>
    <t>N.2958 2019-06-21</t>
  </si>
  <si>
    <t>WILLIAM JAVIER NIÑO</t>
  </si>
  <si>
    <t>N.2625 2019-01-15</t>
  </si>
  <si>
    <t>WILLIAM JAVIER NIÑO ACEVEDO</t>
  </si>
  <si>
    <t>N.2956 2019-06-21</t>
  </si>
  <si>
    <t>GIOVANNY ALBERTO RONDON ARCHILA</t>
  </si>
  <si>
    <t>N.2968 2019-06-26</t>
  </si>
  <si>
    <t>GILBERTO MENDOZA-ANDRES SOLANO-FLOR SMIT-JORGE MONTERO-EDUARDO HERRERA-GERARDO RUJELES-GILBERTO MENDOZA-FLOR SMIT-JORGE MONTERO-GILBERTO MENDOZA-GILBERTO MENDOZA-EDUARDO HERRERA</t>
  </si>
  <si>
    <t>N.2618 2019-01-14 N.2619 2019-01-14 N.2620 2019-01-14 N.2621 2019-01-14 N.2711 2019-02-04 N.2714 2019-02-08 N.2718 2019-02-12 N.2719 2019-02-12 N.2720 2019-02-12 N.2721 2019-02-14 N.2769 2019-03-13 N.2807 2019-03-20</t>
  </si>
  <si>
    <t>FIDUCIA COLPATRIA</t>
  </si>
  <si>
    <t>N.2841 2019-04-05 N.2911 2019 05-28</t>
  </si>
  <si>
    <t>VALUE AND RIS RATING</t>
  </si>
  <si>
    <t>N.2824 2019-03-28</t>
  </si>
  <si>
    <t>UNION TEMPORAL DYF VIAS-DISEÑOS  CONSTRUCCIONES EN INGENIERIA</t>
  </si>
  <si>
    <t>N.2732 2019-02-18  N.2734 2019-02-18</t>
  </si>
  <si>
    <t>CONSORCIO VIAS AEROPUERTO</t>
  </si>
  <si>
    <t>N.2954 2019-06-20</t>
  </si>
  <si>
    <t>CONSORCIO REHABILITACION VIAL BUCARAMANGA</t>
  </si>
  <si>
    <t>N.2976 2019-06-27</t>
  </si>
  <si>
    <t>HAY QUE INCLUIR PRESUPUESTO A ESTE OBJETO</t>
  </si>
  <si>
    <t>CANO JIMENEZ</t>
  </si>
  <si>
    <t>N.2592 2019-01-02</t>
  </si>
  <si>
    <t>NOTA: EL RP 2967 NO SE ESTA INCLUIDO DENTRO DEL PAA</t>
  </si>
  <si>
    <t>COINSA</t>
  </si>
  <si>
    <t>N.2831 2019-04-04</t>
  </si>
  <si>
    <t>DISTRIBUCIONES NACIONALES</t>
  </si>
  <si>
    <t>N.2753 2019-03-04</t>
  </si>
  <si>
    <t>ESTACION DE SERVICIOS LA AMERICANAS</t>
  </si>
  <si>
    <t>N.2634 2019-01-16 N.2793 2019-03-15</t>
  </si>
  <si>
    <t>CENTRAL DE SUMINISTROS</t>
  </si>
  <si>
    <t>N.2766 2019-03-11</t>
  </si>
  <si>
    <t>TECNOINFORMATIICA</t>
  </si>
  <si>
    <t>N.2764 2019-03-07</t>
  </si>
  <si>
    <t>STEM SOLUCIONES TECNOLOGICAS SAS</t>
  </si>
  <si>
    <t>N.2842 2019-044-11</t>
  </si>
  <si>
    <t>NUMERICA</t>
  </si>
  <si>
    <t>N.2806 2019-03-18</t>
  </si>
  <si>
    <t>SOLUCIONES INTEGRALES WARGO</t>
  </si>
  <si>
    <t>N.2752 2019-03-04 N.2825 2019-03-29</t>
  </si>
  <si>
    <t>MARCO ANDRES LANDINEZ</t>
  </si>
  <si>
    <t>N.2845 2019-04-22</t>
  </si>
  <si>
    <t>N.2633 2019 -01-15</t>
  </si>
  <si>
    <t>DORIS CASTRO</t>
  </si>
  <si>
    <t>N.2703 2019-01-29</t>
  </si>
  <si>
    <t>COLEXPERTOS</t>
  </si>
  <si>
    <t>N.2790 2019-03-15</t>
  </si>
  <si>
    <t>PAOLA RAMIREZ PAOLARAMIREZ JAIRO A DUARTE</t>
  </si>
  <si>
    <t>N.2731 2019-02-18 N.2767 2019-03-12 N.2768 2019-03-12</t>
  </si>
  <si>
    <t>JAIRO A. DUARTE BENJAMIN E. HERRERA ANDRES SOLANO</t>
  </si>
  <si>
    <t>N.2947 2019-06-13 N.2948 2019-06-13 N.2955 2019-06-20</t>
  </si>
  <si>
    <t>IMPRESIÓN DIGITAL INGSUCOL</t>
  </si>
  <si>
    <t>N.2901 2019-05-22</t>
  </si>
  <si>
    <t>SERVCIOS POSTALES NACIONALES</t>
  </si>
  <si>
    <t>N.2705 2019-01.30</t>
  </si>
  <si>
    <t>ASOINFIS</t>
  </si>
  <si>
    <t>N.2737 2019-02-20</t>
  </si>
  <si>
    <t>% EJECUCION 31 DE MARZO (B/A)</t>
  </si>
  <si>
    <t>% SIN EJECUTAR A 31 DE MARZO ( A-B ) / A</t>
  </si>
  <si>
    <t>% EJECUCION 2DO TRIMESTRE ( D / C)</t>
  </si>
  <si>
    <t>% SIN EJECUTAR A 30 DE JUNIIO (C-B-D)/C</t>
  </si>
  <si>
    <t>CONVENIO 1113</t>
  </si>
  <si>
    <t>MATERIALES Y SUMINISTRO</t>
  </si>
  <si>
    <t>CAPACITACIONES</t>
  </si>
  <si>
    <t>ADQUISICION DE SERVICIOS</t>
  </si>
  <si>
    <t>TOTAL PRESUPUESTO PAA A 31 DE DICIEMBRE</t>
  </si>
  <si>
    <t>AZUCENA PABON ORDOÑEZ</t>
  </si>
  <si>
    <t>Area de Planeación e Inventarios ( E )</t>
  </si>
  <si>
    <t>Reviso: Cecilia Virviescas Bonnet</t>
  </si>
  <si>
    <t xml:space="preserve">  AreaPlaneación e Inventarios</t>
  </si>
  <si>
    <t>PAA         RECURSOS A MARZO 31-2019 ( A )</t>
  </si>
  <si>
    <t>RP 1ER TRIMESTRE ( B )</t>
  </si>
  <si>
    <t>RECURSOS SIN EJECUTAR ( A -B )</t>
  </si>
  <si>
    <t>PAA      RECURSOS A JUNIO 30-2019 ( C )</t>
  </si>
  <si>
    <t>RP  2DO TRIMESTRE ( D )</t>
  </si>
  <si>
    <t>RECURSOS TOTAL SIN EJECUTAR ( C-B-D)</t>
  </si>
  <si>
    <t>CUADRO DE RP EJECUTADO A 30 DE JUNIO DE 2019</t>
  </si>
  <si>
    <t>IJ99999999999999999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</si>
</sst>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8"/>
      <color rgb="FFFF0000"/>
      <name val="Calibri"/>
      <family val="2"/>
      <scheme val="minor"/>
    </font>
    <font>
      <sz val="8"/>
      <name val="Arial Narrow"/>
      <family val="2"/>
    </font>
    <font>
      <b/>
      <sz val="9"/>
      <name val="Calibri"/>
      <family val="2"/>
      <scheme val="minor"/>
    </font>
    <font>
      <b/>
      <sz val="8"/>
      <name val="Calibri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8"/>
      <color rgb="FF222222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56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 wrapText="1"/>
    </xf>
    <xf numFmtId="0" fontId="5" fillId="0" borderId="2" xfId="0" applyFont="1" applyFill="1" applyBorder="1"/>
    <xf numFmtId="14" fontId="4" fillId="0" borderId="0" xfId="0" applyNumberFormat="1" applyFont="1" applyFill="1"/>
    <xf numFmtId="0" fontId="8" fillId="0" borderId="2" xfId="0" applyFont="1" applyFill="1" applyBorder="1" applyAlignment="1">
      <alignment wrapText="1"/>
    </xf>
    <xf numFmtId="43" fontId="4" fillId="0" borderId="0" xfId="1" applyFont="1" applyFill="1" applyBorder="1"/>
    <xf numFmtId="0" fontId="4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6" xfId="2" applyFont="1" applyFill="1" applyBorder="1" applyAlignment="1">
      <alignment horizontal="center" wrapText="1"/>
    </xf>
    <xf numFmtId="0" fontId="5" fillId="0" borderId="9" xfId="2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 wrapText="1"/>
    </xf>
    <xf numFmtId="0" fontId="5" fillId="0" borderId="11" xfId="2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top" wrapText="1"/>
    </xf>
    <xf numFmtId="0" fontId="13" fillId="0" borderId="0" xfId="0" applyFont="1" applyFill="1"/>
    <xf numFmtId="1" fontId="5" fillId="0" borderId="1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 wrapText="1"/>
    </xf>
    <xf numFmtId="0" fontId="13" fillId="0" borderId="0" xfId="0" applyFont="1" applyFill="1" applyBorder="1"/>
    <xf numFmtId="4" fontId="5" fillId="0" borderId="2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/>
    </xf>
    <xf numFmtId="43" fontId="5" fillId="0" borderId="1" xfId="1" applyFont="1" applyFill="1" applyBorder="1" applyAlignment="1">
      <alignment horizontal="right" vertical="top"/>
    </xf>
    <xf numFmtId="1" fontId="5" fillId="0" borderId="22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/>
    </xf>
    <xf numFmtId="4" fontId="5" fillId="0" borderId="23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 wrapText="1"/>
    </xf>
    <xf numFmtId="1" fontId="5" fillId="0" borderId="29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justify" vertical="top"/>
    </xf>
    <xf numFmtId="0" fontId="5" fillId="0" borderId="27" xfId="0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>
      <alignment vertical="top"/>
    </xf>
    <xf numFmtId="1" fontId="5" fillId="0" borderId="31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0" fontId="5" fillId="0" borderId="19" xfId="2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justify" vertical="top"/>
    </xf>
    <xf numFmtId="0" fontId="5" fillId="0" borderId="24" xfId="2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vertical="top" wrapText="1"/>
    </xf>
    <xf numFmtId="4" fontId="5" fillId="0" borderId="26" xfId="0" applyNumberFormat="1" applyFont="1" applyFill="1" applyBorder="1" applyAlignment="1">
      <alignment vertical="top"/>
    </xf>
    <xf numFmtId="0" fontId="5" fillId="0" borderId="28" xfId="2" applyFont="1" applyFill="1" applyBorder="1" applyAlignment="1">
      <alignment horizontal="center" vertical="top" wrapText="1"/>
    </xf>
    <xf numFmtId="0" fontId="5" fillId="0" borderId="32" xfId="2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textRotation="255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vertical="top"/>
    </xf>
    <xf numFmtId="4" fontId="15" fillId="0" borderId="21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textRotation="255" wrapText="1"/>
    </xf>
    <xf numFmtId="0" fontId="5" fillId="0" borderId="0" xfId="2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1" fontId="5" fillId="0" borderId="36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1" fontId="5" fillId="0" borderId="37" xfId="0" applyNumberFormat="1" applyFont="1" applyFill="1" applyBorder="1" applyAlignment="1">
      <alignment horizontal="center" vertical="top" wrapText="1"/>
    </xf>
    <xf numFmtId="43" fontId="5" fillId="0" borderId="0" xfId="0" applyNumberFormat="1" applyFont="1" applyFill="1" applyBorder="1"/>
    <xf numFmtId="4" fontId="5" fillId="0" borderId="23" xfId="0" applyNumberFormat="1" applyFont="1" applyFill="1" applyBorder="1" applyAlignment="1">
      <alignment horizontal="right" vertical="top"/>
    </xf>
    <xf numFmtId="0" fontId="5" fillId="0" borderId="24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 vertical="top" wrapText="1"/>
    </xf>
    <xf numFmtId="43" fontId="5" fillId="0" borderId="0" xfId="1" applyFont="1" applyFill="1" applyBorder="1"/>
    <xf numFmtId="1" fontId="5" fillId="0" borderId="25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right" vertical="top"/>
    </xf>
    <xf numFmtId="0" fontId="5" fillId="0" borderId="28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3" fontId="5" fillId="0" borderId="0" xfId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justify" vertical="top" wrapText="1"/>
    </xf>
    <xf numFmtId="164" fontId="5" fillId="0" borderId="1" xfId="1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vertical="top"/>
    </xf>
    <xf numFmtId="4" fontId="5" fillId="0" borderId="19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1" fontId="5" fillId="0" borderId="40" xfId="0" applyNumberFormat="1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/>
    </xf>
    <xf numFmtId="0" fontId="5" fillId="0" borderId="41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vertical="top" wrapText="1"/>
    </xf>
    <xf numFmtId="164" fontId="5" fillId="0" borderId="23" xfId="1" applyNumberFormat="1" applyFont="1" applyFill="1" applyBorder="1" applyAlignment="1">
      <alignment horizontal="center" vertical="top"/>
    </xf>
    <xf numFmtId="4" fontId="8" fillId="0" borderId="23" xfId="0" applyNumberFormat="1" applyFont="1" applyFill="1" applyBorder="1" applyAlignment="1">
      <alignment vertical="top"/>
    </xf>
    <xf numFmtId="4" fontId="6" fillId="0" borderId="23" xfId="0" applyNumberFormat="1" applyFont="1" applyFill="1" applyBorder="1" applyAlignment="1">
      <alignment horizontal="right" vertical="top"/>
    </xf>
    <xf numFmtId="4" fontId="5" fillId="0" borderId="24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/>
    </xf>
    <xf numFmtId="1" fontId="5" fillId="0" borderId="15" xfId="0" applyNumberFormat="1" applyFont="1" applyFill="1" applyBorder="1" applyAlignment="1">
      <alignment horizontal="center" vertical="top"/>
    </xf>
    <xf numFmtId="4" fontId="5" fillId="0" borderId="15" xfId="0" applyNumberFormat="1" applyFont="1" applyFill="1" applyBorder="1" applyAlignment="1">
      <alignment vertical="top" wrapText="1"/>
    </xf>
    <xf numFmtId="43" fontId="5" fillId="0" borderId="15" xfId="1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vertical="top" wrapText="1"/>
    </xf>
    <xf numFmtId="43" fontId="5" fillId="0" borderId="1" xfId="1" applyFont="1" applyFill="1" applyBorder="1" applyAlignment="1">
      <alignment vertical="top" wrapText="1"/>
    </xf>
    <xf numFmtId="4" fontId="5" fillId="0" borderId="23" xfId="0" applyNumberFormat="1" applyFont="1" applyFill="1" applyBorder="1" applyAlignment="1">
      <alignment vertical="top" wrapText="1"/>
    </xf>
    <xf numFmtId="43" fontId="5" fillId="0" borderId="23" xfId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17" fillId="0" borderId="2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wrapText="1"/>
    </xf>
    <xf numFmtId="4" fontId="8" fillId="0" borderId="21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43" fontId="5" fillId="0" borderId="15" xfId="0" applyNumberFormat="1" applyFont="1" applyFill="1" applyBorder="1" applyAlignment="1">
      <alignment horizontal="center" vertical="top"/>
    </xf>
    <xf numFmtId="43" fontId="5" fillId="0" borderId="27" xfId="0" applyNumberFormat="1" applyFont="1" applyFill="1" applyBorder="1" applyAlignment="1">
      <alignment horizontal="center" vertical="top"/>
    </xf>
    <xf numFmtId="43" fontId="5" fillId="0" borderId="1" xfId="0" applyNumberFormat="1" applyFont="1" applyFill="1" applyBorder="1" applyAlignment="1">
      <alignment horizontal="center" vertical="top"/>
    </xf>
    <xf numFmtId="43" fontId="5" fillId="0" borderId="23" xfId="0" applyNumberFormat="1" applyFont="1" applyFill="1" applyBorder="1" applyAlignment="1">
      <alignment horizontal="center" vertical="top"/>
    </xf>
    <xf numFmtId="43" fontId="5" fillId="0" borderId="0" xfId="0" applyNumberFormat="1" applyFont="1" applyFill="1" applyBorder="1" applyAlignment="1">
      <alignment horizontal="center" vertical="top"/>
    </xf>
    <xf numFmtId="43" fontId="8" fillId="0" borderId="2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43" fontId="8" fillId="0" borderId="0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165" fontId="5" fillId="0" borderId="15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wrapText="1"/>
    </xf>
    <xf numFmtId="165" fontId="5" fillId="0" borderId="23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vertical="top" wrapText="1"/>
    </xf>
    <xf numFmtId="1" fontId="5" fillId="0" borderId="31" xfId="0" applyNumberFormat="1" applyFont="1" applyFill="1" applyBorder="1" applyAlignment="1">
      <alignment vertical="top" wrapText="1"/>
    </xf>
    <xf numFmtId="0" fontId="10" fillId="0" borderId="33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1" fontId="5" fillId="0" borderId="22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5" fillId="0" borderId="0" xfId="0" applyFont="1" applyFill="1" applyAlignment="1">
      <alignment vertical="top"/>
    </xf>
    <xf numFmtId="0" fontId="18" fillId="0" borderId="12" xfId="0" applyFont="1" applyFill="1" applyBorder="1" applyAlignment="1">
      <alignment horizontal="center" vertical="top" wrapText="1"/>
    </xf>
    <xf numFmtId="1" fontId="5" fillId="0" borderId="43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center" vertical="top" wrapText="1"/>
    </xf>
    <xf numFmtId="1" fontId="5" fillId="0" borderId="44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/>
    </xf>
    <xf numFmtId="165" fontId="8" fillId="0" borderId="21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 wrapText="1"/>
    </xf>
    <xf numFmtId="1" fontId="5" fillId="0" borderId="45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center" vertical="top"/>
    </xf>
    <xf numFmtId="0" fontId="10" fillId="0" borderId="3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/>
    </xf>
    <xf numFmtId="1" fontId="5" fillId="0" borderId="3" xfId="0" applyNumberFormat="1" applyFont="1" applyFill="1" applyBorder="1" applyAlignment="1">
      <alignment horizontal="center" vertical="top" wrapText="1"/>
    </xf>
    <xf numFmtId="43" fontId="5" fillId="0" borderId="10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/>
    </xf>
    <xf numFmtId="43" fontId="5" fillId="0" borderId="15" xfId="1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1" fontId="5" fillId="0" borderId="46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3" fontId="7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4" fontId="7" fillId="0" borderId="0" xfId="0" applyNumberFormat="1" applyFont="1" applyFill="1" applyBorder="1"/>
    <xf numFmtId="43" fontId="7" fillId="0" borderId="0" xfId="0" applyNumberFormat="1" applyFont="1" applyFill="1" applyBorder="1"/>
    <xf numFmtId="0" fontId="7" fillId="0" borderId="0" xfId="0" applyFont="1" applyFill="1"/>
    <xf numFmtId="0" fontId="19" fillId="0" borderId="0" xfId="0" applyFont="1" applyFill="1"/>
    <xf numFmtId="0" fontId="20" fillId="0" borderId="0" xfId="0" applyFont="1" applyFill="1" applyBorder="1"/>
    <xf numFmtId="0" fontId="20" fillId="0" borderId="0" xfId="0" applyFont="1" applyFill="1"/>
    <xf numFmtId="0" fontId="4" fillId="0" borderId="0" xfId="0" applyFont="1" applyFill="1" applyAlignment="1">
      <alignment vertical="top" wrapText="1"/>
    </xf>
    <xf numFmtId="43" fontId="5" fillId="0" borderId="0" xfId="1" applyFont="1" applyFill="1" applyAlignment="1">
      <alignment vertical="top"/>
    </xf>
    <xf numFmtId="1" fontId="5" fillId="0" borderId="13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/>
    </xf>
    <xf numFmtId="0" fontId="5" fillId="0" borderId="16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1" fontId="5" fillId="0" borderId="23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30" xfId="2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top"/>
    </xf>
    <xf numFmtId="43" fontId="5" fillId="0" borderId="15" xfId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43" fontId="5" fillId="0" borderId="27" xfId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>
      <alignment horizontal="right" vertical="top"/>
    </xf>
    <xf numFmtId="43" fontId="5" fillId="0" borderId="23" xfId="1" applyFont="1" applyFill="1" applyBorder="1" applyAlignment="1">
      <alignment horizontal="center" vertical="top"/>
    </xf>
    <xf numFmtId="4" fontId="5" fillId="0" borderId="14" xfId="0" applyNumberFormat="1" applyFont="1" applyFill="1" applyBorder="1" applyAlignment="1">
      <alignment horizontal="right" vertical="top"/>
    </xf>
    <xf numFmtId="1" fontId="5" fillId="0" borderId="15" xfId="0" applyNumberFormat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1" fontId="5" fillId="0" borderId="27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/>
    </xf>
    <xf numFmtId="1" fontId="5" fillId="0" borderId="27" xfId="0" applyNumberFormat="1" applyFont="1" applyFill="1" applyBorder="1" applyAlignment="1">
      <alignment horizontal="left" vertical="top" wrapText="1"/>
    </xf>
    <xf numFmtId="4" fontId="5" fillId="0" borderId="27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top"/>
    </xf>
    <xf numFmtId="4" fontId="5" fillId="0" borderId="2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top" wrapText="1"/>
    </xf>
    <xf numFmtId="1" fontId="5" fillId="0" borderId="26" xfId="0" applyNumberFormat="1" applyFont="1" applyFill="1" applyBorder="1" applyAlignment="1">
      <alignment horizontal="left" vertical="top" wrapText="1"/>
    </xf>
    <xf numFmtId="1" fontId="5" fillId="0" borderId="26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43" fontId="4" fillId="0" borderId="38" xfId="0" applyNumberFormat="1" applyFont="1" applyFill="1" applyBorder="1" applyAlignment="1">
      <alignment vertical="top"/>
    </xf>
    <xf numFmtId="0" fontId="4" fillId="0" borderId="38" xfId="0" applyFont="1" applyFill="1" applyBorder="1"/>
    <xf numFmtId="0" fontId="5" fillId="0" borderId="26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horizontal="center" vertical="top" wrapText="1"/>
    </xf>
    <xf numFmtId="1" fontId="5" fillId="0" borderId="35" xfId="0" applyNumberFormat="1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 wrapText="1"/>
    </xf>
    <xf numFmtId="165" fontId="5" fillId="0" borderId="7" xfId="0" applyNumberFormat="1" applyFont="1" applyFill="1" applyBorder="1" applyAlignment="1">
      <alignment horizontal="center" vertical="top"/>
    </xf>
    <xf numFmtId="165" fontId="5" fillId="0" borderId="48" xfId="0" applyNumberFormat="1" applyFont="1" applyFill="1" applyBorder="1" applyAlignment="1">
      <alignment horizontal="center" vertical="top"/>
    </xf>
    <xf numFmtId="165" fontId="5" fillId="0" borderId="12" xfId="0" applyNumberFormat="1" applyFont="1" applyFill="1" applyBorder="1" applyAlignment="1">
      <alignment horizontal="center" vertical="top"/>
    </xf>
    <xf numFmtId="165" fontId="5" fillId="0" borderId="41" xfId="0" applyNumberFormat="1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4" fontId="5" fillId="0" borderId="19" xfId="0" applyNumberFormat="1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39" xfId="0" applyNumberFormat="1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vertical="top" wrapText="1"/>
    </xf>
    <xf numFmtId="164" fontId="5" fillId="0" borderId="15" xfId="1" applyNumberFormat="1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4" fontId="5" fillId="0" borderId="32" xfId="0" applyNumberFormat="1" applyFont="1" applyFill="1" applyBorder="1" applyAlignment="1">
      <alignment vertical="top" wrapText="1"/>
    </xf>
    <xf numFmtId="0" fontId="21" fillId="0" borderId="46" xfId="0" applyFont="1" applyFill="1" applyBorder="1" applyAlignment="1">
      <alignment vertical="top"/>
    </xf>
    <xf numFmtId="0" fontId="21" fillId="0" borderId="4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/>
    </xf>
    <xf numFmtId="0" fontId="22" fillId="0" borderId="0" xfId="0" applyFont="1" applyFill="1" applyAlignment="1">
      <alignment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43" fontId="5" fillId="0" borderId="26" xfId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justify" vertical="top" wrapText="1"/>
    </xf>
    <xf numFmtId="0" fontId="5" fillId="0" borderId="23" xfId="0" applyFont="1" applyFill="1" applyBorder="1" applyAlignment="1">
      <alignment horizontal="justify" vertical="top" wrapText="1"/>
    </xf>
    <xf numFmtId="1" fontId="13" fillId="0" borderId="3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43" fontId="13" fillId="0" borderId="10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top" textRotation="255" wrapText="1"/>
    </xf>
    <xf numFmtId="0" fontId="5" fillId="0" borderId="0" xfId="0" applyFont="1" applyFill="1" applyAlignment="1">
      <alignment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top" textRotation="255" wrapText="1"/>
    </xf>
    <xf numFmtId="0" fontId="8" fillId="0" borderId="33" xfId="0" applyFont="1" applyFill="1" applyBorder="1" applyAlignment="1">
      <alignment horizontal="center" vertical="top" textRotation="255" wrapText="1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43" fontId="5" fillId="0" borderId="15" xfId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43" fontId="5" fillId="0" borderId="32" xfId="1" applyFont="1" applyFill="1" applyBorder="1" applyAlignment="1">
      <alignment wrapText="1"/>
    </xf>
    <xf numFmtId="43" fontId="5" fillId="0" borderId="15" xfId="1" applyFont="1" applyFill="1" applyBorder="1"/>
    <xf numFmtId="0" fontId="5" fillId="0" borderId="15" xfId="0" applyFont="1" applyFill="1" applyBorder="1"/>
    <xf numFmtId="43" fontId="5" fillId="0" borderId="32" xfId="1" applyFont="1" applyFill="1" applyBorder="1"/>
    <xf numFmtId="0" fontId="5" fillId="0" borderId="18" xfId="0" applyFont="1" applyFill="1" applyBorder="1" applyAlignment="1">
      <alignment horizontal="left" vertical="top" wrapText="1"/>
    </xf>
    <xf numFmtId="43" fontId="5" fillId="0" borderId="1" xfId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3" fontId="5" fillId="0" borderId="19" xfId="1" applyFont="1" applyFill="1" applyBorder="1" applyAlignment="1">
      <alignment wrapText="1"/>
    </xf>
    <xf numFmtId="43" fontId="5" fillId="0" borderId="1" xfId="1" applyFont="1" applyFill="1" applyBorder="1"/>
    <xf numFmtId="43" fontId="5" fillId="0" borderId="19" xfId="1" applyFont="1" applyFill="1" applyBorder="1"/>
    <xf numFmtId="0" fontId="5" fillId="0" borderId="18" xfId="0" applyFont="1" applyFill="1" applyBorder="1" applyAlignment="1">
      <alignment horizontal="left" vertical="top"/>
    </xf>
    <xf numFmtId="0" fontId="24" fillId="0" borderId="0" xfId="0" applyFont="1" applyFill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/>
    <xf numFmtId="4" fontId="5" fillId="0" borderId="18" xfId="0" applyNumberFormat="1" applyFont="1" applyFill="1" applyBorder="1" applyAlignment="1">
      <alignment horizontal="left" vertical="top"/>
    </xf>
    <xf numFmtId="4" fontId="5" fillId="0" borderId="22" xfId="0" applyNumberFormat="1" applyFont="1" applyFill="1" applyBorder="1" applyAlignment="1">
      <alignment horizontal="left" vertical="top" wrapText="1"/>
    </xf>
    <xf numFmtId="43" fontId="5" fillId="0" borderId="23" xfId="1" applyFont="1" applyFill="1" applyBorder="1"/>
    <xf numFmtId="0" fontId="5" fillId="0" borderId="23" xfId="0" applyFont="1" applyFill="1" applyBorder="1" applyAlignment="1">
      <alignment wrapText="1"/>
    </xf>
    <xf numFmtId="43" fontId="5" fillId="0" borderId="24" xfId="1" applyFont="1" applyFill="1" applyBorder="1"/>
    <xf numFmtId="43" fontId="5" fillId="0" borderId="23" xfId="1" applyFont="1" applyFill="1" applyBorder="1" applyAlignment="1">
      <alignment horizontal="left" vertical="top" wrapText="1"/>
    </xf>
    <xf numFmtId="43" fontId="5" fillId="0" borderId="24" xfId="1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top"/>
    </xf>
    <xf numFmtId="43" fontId="25" fillId="0" borderId="21" xfId="1" applyFont="1" applyFill="1" applyBorder="1"/>
    <xf numFmtId="0" fontId="25" fillId="0" borderId="0" xfId="0" applyFont="1" applyFill="1" applyBorder="1" applyAlignment="1">
      <alignment wrapText="1"/>
    </xf>
    <xf numFmtId="43" fontId="5" fillId="0" borderId="21" xfId="1" applyFont="1" applyFill="1" applyBorder="1"/>
    <xf numFmtId="43" fontId="25" fillId="0" borderId="0" xfId="1" applyFont="1" applyFill="1" applyBorder="1"/>
    <xf numFmtId="43" fontId="5" fillId="0" borderId="0" xfId="1" applyFont="1" applyFill="1"/>
    <xf numFmtId="0" fontId="25" fillId="0" borderId="0" xfId="0" applyFont="1" applyFill="1" applyBorder="1"/>
    <xf numFmtId="0" fontId="5" fillId="0" borderId="31" xfId="0" applyFont="1" applyFill="1" applyBorder="1" applyAlignment="1">
      <alignment horizontal="left"/>
    </xf>
    <xf numFmtId="0" fontId="5" fillId="0" borderId="15" xfId="0" applyFont="1" applyFill="1" applyBorder="1" applyAlignment="1">
      <alignment wrapText="1"/>
    </xf>
    <xf numFmtId="43" fontId="5" fillId="0" borderId="49" xfId="1" applyFont="1" applyFill="1" applyBorder="1"/>
    <xf numFmtId="43" fontId="5" fillId="0" borderId="15" xfId="0" applyNumberFormat="1" applyFont="1" applyFill="1" applyBorder="1"/>
    <xf numFmtId="0" fontId="5" fillId="0" borderId="18" xfId="0" applyFont="1" applyFill="1" applyBorder="1" applyAlignment="1">
      <alignment horizontal="left"/>
    </xf>
    <xf numFmtId="43" fontId="5" fillId="0" borderId="2" xfId="1" applyFont="1" applyFill="1" applyBorder="1"/>
    <xf numFmtId="0" fontId="5" fillId="0" borderId="18" xfId="0" applyFont="1" applyFill="1" applyBorder="1"/>
    <xf numFmtId="43" fontId="5" fillId="0" borderId="1" xfId="0" applyNumberFormat="1" applyFont="1" applyFill="1" applyBorder="1"/>
    <xf numFmtId="1" fontId="5" fillId="0" borderId="18" xfId="0" applyNumberFormat="1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2" xfId="0" applyFont="1" applyFill="1" applyBorder="1"/>
    <xf numFmtId="43" fontId="5" fillId="0" borderId="23" xfId="0" applyNumberFormat="1" applyFont="1" applyFill="1" applyBorder="1"/>
    <xf numFmtId="43" fontId="5" fillId="0" borderId="50" xfId="0" applyNumberFormat="1" applyFont="1" applyFill="1" applyBorder="1"/>
    <xf numFmtId="43" fontId="25" fillId="0" borderId="21" xfId="0" applyNumberFormat="1" applyFont="1" applyFill="1" applyBorder="1"/>
    <xf numFmtId="43" fontId="25" fillId="0" borderId="0" xfId="0" applyNumberFormat="1" applyFont="1" applyFill="1" applyBorder="1"/>
    <xf numFmtId="0" fontId="25" fillId="0" borderId="31" xfId="0" applyFont="1" applyFill="1" applyBorder="1" applyAlignment="1">
      <alignment horizontal="center" vertical="top" wrapText="1"/>
    </xf>
    <xf numFmtId="43" fontId="25" fillId="0" borderId="15" xfId="1" applyFont="1" applyFill="1" applyBorder="1"/>
    <xf numFmtId="0" fontId="25" fillId="0" borderId="15" xfId="0" applyFont="1" applyFill="1" applyBorder="1" applyAlignment="1">
      <alignment wrapText="1"/>
    </xf>
    <xf numFmtId="43" fontId="25" fillId="0" borderId="49" xfId="1" applyFont="1" applyFill="1" applyBorder="1"/>
    <xf numFmtId="0" fontId="5" fillId="0" borderId="31" xfId="0" applyFont="1" applyFill="1" applyBorder="1"/>
    <xf numFmtId="0" fontId="5" fillId="0" borderId="32" xfId="0" applyFont="1" applyFill="1" applyBorder="1"/>
    <xf numFmtId="0" fontId="25" fillId="0" borderId="18" xfId="0" applyFont="1" applyFill="1" applyBorder="1" applyAlignment="1">
      <alignment horizontal="center" vertical="top" wrapText="1"/>
    </xf>
    <xf numFmtId="43" fontId="25" fillId="0" borderId="1" xfId="1" applyFont="1" applyFill="1" applyBorder="1"/>
    <xf numFmtId="0" fontId="25" fillId="0" borderId="1" xfId="0" applyFont="1" applyFill="1" applyBorder="1" applyAlignment="1">
      <alignment wrapText="1"/>
    </xf>
    <xf numFmtId="43" fontId="25" fillId="0" borderId="2" xfId="1" applyFont="1" applyFill="1" applyBorder="1"/>
    <xf numFmtId="0" fontId="5" fillId="0" borderId="19" xfId="0" applyFont="1" applyFill="1" applyBorder="1"/>
    <xf numFmtId="0" fontId="25" fillId="0" borderId="1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wrapText="1"/>
    </xf>
    <xf numFmtId="0" fontId="25" fillId="0" borderId="18" xfId="0" applyFont="1" applyFill="1" applyBorder="1"/>
    <xf numFmtId="0" fontId="5" fillId="0" borderId="18" xfId="0" applyFont="1" applyFill="1" applyBorder="1" applyAlignment="1">
      <alignment wrapText="1"/>
    </xf>
    <xf numFmtId="43" fontId="25" fillId="0" borderId="19" xfId="1" applyFont="1" applyFill="1" applyBorder="1"/>
    <xf numFmtId="0" fontId="5" fillId="0" borderId="18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43" fontId="25" fillId="0" borderId="1" xfId="0" applyNumberFormat="1" applyFont="1" applyFill="1" applyBorder="1"/>
    <xf numFmtId="43" fontId="25" fillId="0" borderId="2" xfId="0" applyNumberFormat="1" applyFont="1" applyFill="1" applyBorder="1"/>
    <xf numFmtId="0" fontId="25" fillId="0" borderId="1" xfId="0" applyFont="1" applyFill="1" applyBorder="1"/>
    <xf numFmtId="0" fontId="25" fillId="0" borderId="2" xfId="0" applyFont="1" applyFill="1" applyBorder="1"/>
    <xf numFmtId="0" fontId="24" fillId="0" borderId="1" xfId="0" applyFont="1" applyFill="1" applyBorder="1" applyAlignment="1">
      <alignment vertical="top" wrapText="1"/>
    </xf>
    <xf numFmtId="0" fontId="24" fillId="0" borderId="0" xfId="0" applyFont="1" applyFill="1" applyAlignment="1">
      <alignment wrapText="1"/>
    </xf>
    <xf numFmtId="0" fontId="25" fillId="0" borderId="22" xfId="0" applyFont="1" applyFill="1" applyBorder="1"/>
    <xf numFmtId="43" fontId="25" fillId="0" borderId="23" xfId="1" applyFont="1" applyFill="1" applyBorder="1"/>
    <xf numFmtId="0" fontId="25" fillId="0" borderId="23" xfId="0" applyFont="1" applyFill="1" applyBorder="1" applyAlignment="1">
      <alignment wrapText="1"/>
    </xf>
    <xf numFmtId="0" fontId="25" fillId="0" borderId="50" xfId="0" applyFont="1" applyFill="1" applyBorder="1"/>
    <xf numFmtId="0" fontId="5" fillId="0" borderId="24" xfId="0" applyFont="1" applyFill="1" applyBorder="1" applyAlignment="1">
      <alignment vertical="top"/>
    </xf>
    <xf numFmtId="43" fontId="25" fillId="0" borderId="38" xfId="0" applyNumberFormat="1" applyFont="1" applyFill="1" applyBorder="1"/>
    <xf numFmtId="4" fontId="5" fillId="0" borderId="21" xfId="0" applyNumberFormat="1" applyFont="1" applyFill="1" applyBorder="1"/>
    <xf numFmtId="4" fontId="24" fillId="0" borderId="0" xfId="0" applyNumberFormat="1" applyFont="1" applyFill="1" applyBorder="1" applyAlignment="1">
      <alignment vertical="top" wrapText="1"/>
    </xf>
    <xf numFmtId="0" fontId="25" fillId="0" borderId="31" xfId="0" applyFont="1" applyFill="1" applyBorder="1"/>
    <xf numFmtId="0" fontId="25" fillId="0" borderId="15" xfId="0" applyFont="1" applyFill="1" applyBorder="1"/>
    <xf numFmtId="0" fontId="25" fillId="0" borderId="49" xfId="0" applyFont="1" applyFill="1" applyBorder="1"/>
    <xf numFmtId="0" fontId="25" fillId="0" borderId="18" xfId="0" applyFont="1" applyFill="1" applyBorder="1" applyAlignment="1">
      <alignment horizontal="center" vertical="top"/>
    </xf>
    <xf numFmtId="0" fontId="25" fillId="0" borderId="22" xfId="0" applyFont="1" applyFill="1" applyBorder="1" applyAlignment="1">
      <alignment horizontal="center" vertical="top" wrapText="1"/>
    </xf>
    <xf numFmtId="43" fontId="25" fillId="0" borderId="50" xfId="1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25" fillId="0" borderId="0" xfId="0" applyFont="1" applyFill="1" applyBorder="1" applyAlignment="1">
      <alignment horizontal="center" vertical="top" wrapText="1"/>
    </xf>
    <xf numFmtId="2" fontId="25" fillId="0" borderId="38" xfId="1" applyNumberFormat="1" applyFont="1" applyFill="1" applyBorder="1"/>
    <xf numFmtId="2" fontId="2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/>
    <xf numFmtId="43" fontId="25" fillId="0" borderId="38" xfId="1" applyFont="1" applyFill="1" applyBorder="1"/>
    <xf numFmtId="43" fontId="5" fillId="0" borderId="21" xfId="1" applyFont="1" applyFill="1" applyBorder="1" applyAlignment="1">
      <alignment horizontal="left" vertical="top" wrapText="1"/>
    </xf>
    <xf numFmtId="43" fontId="5" fillId="0" borderId="38" xfId="1" applyFont="1" applyFill="1" applyBorder="1"/>
    <xf numFmtId="43" fontId="25" fillId="0" borderId="32" xfId="1" applyFont="1" applyFill="1" applyBorder="1"/>
    <xf numFmtId="0" fontId="5" fillId="0" borderId="36" xfId="0" applyFont="1" applyFill="1" applyBorder="1"/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/>
    <xf numFmtId="0" fontId="4" fillId="0" borderId="18" xfId="0" applyFont="1" applyFill="1" applyBorder="1"/>
    <xf numFmtId="0" fontId="5" fillId="0" borderId="20" xfId="0" applyFont="1" applyFill="1" applyBorder="1" applyAlignment="1">
      <alignment wrapText="1"/>
    </xf>
    <xf numFmtId="0" fontId="25" fillId="0" borderId="19" xfId="0" applyFont="1" applyFill="1" applyBorder="1"/>
    <xf numFmtId="0" fontId="25" fillId="0" borderId="23" xfId="0" applyFont="1" applyFill="1" applyBorder="1"/>
    <xf numFmtId="0" fontId="25" fillId="0" borderId="24" xfId="0" applyFont="1" applyFill="1" applyBorder="1"/>
    <xf numFmtId="0" fontId="5" fillId="0" borderId="42" xfId="0" applyFont="1" applyFill="1" applyBorder="1"/>
    <xf numFmtId="4" fontId="5" fillId="0" borderId="0" xfId="0" applyNumberFormat="1" applyFont="1" applyFill="1"/>
    <xf numFmtId="0" fontId="25" fillId="0" borderId="9" xfId="0" applyFont="1" applyFill="1" applyBorder="1" applyAlignment="1">
      <alignment wrapText="1"/>
    </xf>
    <xf numFmtId="43" fontId="25" fillId="0" borderId="10" xfId="1" applyFont="1" applyFill="1" applyBorder="1"/>
    <xf numFmtId="0" fontId="25" fillId="0" borderId="10" xfId="0" applyFont="1" applyFill="1" applyBorder="1" applyAlignment="1">
      <alignment wrapText="1"/>
    </xf>
    <xf numFmtId="43" fontId="25" fillId="0" borderId="51" xfId="1" applyFont="1" applyFill="1" applyBorder="1"/>
    <xf numFmtId="0" fontId="5" fillId="0" borderId="9" xfId="0" applyFont="1" applyFill="1" applyBorder="1" applyAlignment="1">
      <alignment wrapText="1"/>
    </xf>
    <xf numFmtId="43" fontId="5" fillId="0" borderId="10" xfId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4" fontId="5" fillId="0" borderId="38" xfId="0" applyNumberFormat="1" applyFont="1" applyFill="1" applyBorder="1"/>
    <xf numFmtId="43" fontId="5" fillId="0" borderId="38" xfId="0" applyNumberFormat="1" applyFont="1" applyFill="1" applyBorder="1"/>
    <xf numFmtId="0" fontId="5" fillId="0" borderId="31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2" fontId="25" fillId="0" borderId="38" xfId="0" applyNumberFormat="1" applyFont="1" applyFill="1" applyBorder="1"/>
    <xf numFmtId="2" fontId="25" fillId="0" borderId="21" xfId="1" applyNumberFormat="1" applyFont="1" applyFill="1" applyBorder="1"/>
    <xf numFmtId="0" fontId="25" fillId="0" borderId="31" xfId="0" applyFont="1" applyFill="1" applyBorder="1" applyAlignment="1">
      <alignment wrapText="1"/>
    </xf>
    <xf numFmtId="43" fontId="25" fillId="0" borderId="15" xfId="1" applyFont="1" applyFill="1" applyBorder="1" applyAlignment="1">
      <alignment wrapText="1"/>
    </xf>
    <xf numFmtId="0" fontId="5" fillId="0" borderId="9" xfId="0" applyFont="1" applyFill="1" applyBorder="1"/>
    <xf numFmtId="43" fontId="25" fillId="0" borderId="0" xfId="1" applyFont="1" applyFill="1" applyBorder="1" applyAlignment="1">
      <alignment wrapText="1"/>
    </xf>
    <xf numFmtId="165" fontId="5" fillId="0" borderId="38" xfId="0" applyNumberFormat="1" applyFont="1" applyFill="1" applyBorder="1"/>
    <xf numFmtId="43" fontId="25" fillId="0" borderId="0" xfId="1" applyFont="1" applyFill="1" applyBorder="1" applyAlignment="1">
      <alignment horizontal="center"/>
    </xf>
    <xf numFmtId="43" fontId="25" fillId="0" borderId="0" xfId="0" applyNumberFormat="1" applyFont="1" applyFill="1" applyBorder="1" applyAlignment="1"/>
    <xf numFmtId="0" fontId="25" fillId="0" borderId="9" xfId="0" applyFont="1" applyFill="1" applyBorder="1"/>
    <xf numFmtId="0" fontId="25" fillId="0" borderId="10" xfId="0" applyFont="1" applyFill="1" applyBorder="1"/>
    <xf numFmtId="0" fontId="25" fillId="0" borderId="51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/>
    <xf numFmtId="0" fontId="5" fillId="0" borderId="38" xfId="0" applyFont="1" applyFill="1" applyBorder="1"/>
    <xf numFmtId="0" fontId="13" fillId="0" borderId="31" xfId="0" applyFont="1" applyFill="1" applyBorder="1"/>
    <xf numFmtId="43" fontId="13" fillId="0" borderId="15" xfId="1" applyFont="1" applyFill="1" applyBorder="1"/>
    <xf numFmtId="0" fontId="13" fillId="0" borderId="15" xfId="0" applyFont="1" applyFill="1" applyBorder="1" applyAlignment="1">
      <alignment wrapText="1"/>
    </xf>
    <xf numFmtId="43" fontId="13" fillId="0" borderId="49" xfId="1" applyFont="1" applyFill="1" applyBorder="1"/>
    <xf numFmtId="43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/>
    <xf numFmtId="0" fontId="13" fillId="0" borderId="32" xfId="0" applyFont="1" applyFill="1" applyBorder="1" applyAlignment="1">
      <alignment wrapText="1"/>
    </xf>
    <xf numFmtId="0" fontId="13" fillId="0" borderId="22" xfId="0" applyFont="1" applyFill="1" applyBorder="1"/>
    <xf numFmtId="43" fontId="13" fillId="0" borderId="23" xfId="0" applyNumberFormat="1" applyFont="1" applyFill="1" applyBorder="1"/>
    <xf numFmtId="0" fontId="13" fillId="0" borderId="23" xfId="0" applyFont="1" applyFill="1" applyBorder="1" applyAlignment="1">
      <alignment wrapText="1"/>
    </xf>
    <xf numFmtId="43" fontId="13" fillId="0" borderId="50" xfId="0" applyNumberFormat="1" applyFont="1" applyFill="1" applyBorder="1"/>
    <xf numFmtId="165" fontId="13" fillId="0" borderId="23" xfId="0" applyNumberFormat="1" applyFont="1" applyFill="1" applyBorder="1"/>
    <xf numFmtId="43" fontId="13" fillId="0" borderId="23" xfId="1" applyFont="1" applyFill="1" applyBorder="1"/>
    <xf numFmtId="0" fontId="13" fillId="0" borderId="24" xfId="0" applyFont="1" applyFill="1" applyBorder="1"/>
    <xf numFmtId="0" fontId="25" fillId="0" borderId="38" xfId="0" applyFont="1" applyFill="1" applyBorder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5" fillId="0" borderId="52" xfId="0" applyFont="1" applyFill="1" applyBorder="1"/>
    <xf numFmtId="0" fontId="4" fillId="0" borderId="31" xfId="0" applyFont="1" applyFill="1" applyBorder="1"/>
    <xf numFmtId="0" fontId="4" fillId="0" borderId="15" xfId="0" applyFont="1" applyFill="1" applyBorder="1"/>
    <xf numFmtId="0" fontId="4" fillId="0" borderId="32" xfId="0" applyFont="1" applyFill="1" applyBorder="1"/>
    <xf numFmtId="0" fontId="5" fillId="0" borderId="50" xfId="0" applyFont="1" applyFill="1" applyBorder="1"/>
    <xf numFmtId="0" fontId="4" fillId="0" borderId="22" xfId="0" applyFont="1" applyFill="1" applyBorder="1"/>
    <xf numFmtId="0" fontId="5" fillId="0" borderId="38" xfId="0" applyFont="1" applyFill="1" applyBorder="1" applyAlignment="1">
      <alignment horizontal="left" vertical="top" wrapText="1"/>
    </xf>
    <xf numFmtId="0" fontId="4" fillId="0" borderId="23" xfId="0" applyFont="1" applyFill="1" applyBorder="1"/>
    <xf numFmtId="0" fontId="4" fillId="0" borderId="24" xfId="0" applyFont="1" applyFill="1" applyBorder="1"/>
    <xf numFmtId="0" fontId="4" fillId="0" borderId="50" xfId="0" applyFont="1" applyFill="1" applyBorder="1"/>
    <xf numFmtId="165" fontId="5" fillId="0" borderId="21" xfId="0" applyNumberFormat="1" applyFont="1" applyFill="1" applyBorder="1"/>
    <xf numFmtId="0" fontId="5" fillId="0" borderId="15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43" fontId="27" fillId="0" borderId="14" xfId="1" applyFont="1" applyFill="1" applyBorder="1" applyAlignment="1">
      <alignment horizontal="center"/>
    </xf>
    <xf numFmtId="43" fontId="28" fillId="0" borderId="14" xfId="1" applyFont="1" applyBorder="1"/>
    <xf numFmtId="10" fontId="28" fillId="0" borderId="14" xfId="3" applyNumberFormat="1" applyFont="1" applyBorder="1"/>
    <xf numFmtId="43" fontId="28" fillId="0" borderId="14" xfId="0" applyNumberFormat="1" applyFont="1" applyBorder="1"/>
    <xf numFmtId="43" fontId="28" fillId="0" borderId="14" xfId="1" applyFont="1" applyBorder="1" applyAlignment="1"/>
    <xf numFmtId="10" fontId="28" fillId="0" borderId="16" xfId="3" applyNumberFormat="1" applyFont="1" applyBorder="1"/>
    <xf numFmtId="0" fontId="0" fillId="0" borderId="9" xfId="0" applyBorder="1" applyAlignment="1">
      <alignment wrapText="1"/>
    </xf>
    <xf numFmtId="43" fontId="28" fillId="0" borderId="10" xfId="1" applyFont="1" applyBorder="1"/>
    <xf numFmtId="10" fontId="28" fillId="0" borderId="10" xfId="3" applyNumberFormat="1" applyFont="1" applyBorder="1"/>
    <xf numFmtId="43" fontId="28" fillId="0" borderId="10" xfId="0" applyNumberFormat="1" applyFont="1" applyBorder="1"/>
    <xf numFmtId="43" fontId="28" fillId="0" borderId="10" xfId="1" applyFont="1" applyBorder="1" applyAlignment="1"/>
    <xf numFmtId="43" fontId="27" fillId="0" borderId="10" xfId="1" applyFont="1" applyFill="1" applyBorder="1"/>
    <xf numFmtId="0" fontId="2" fillId="0" borderId="53" xfId="0" applyFont="1" applyFill="1" applyBorder="1" applyAlignment="1">
      <alignment wrapText="1"/>
    </xf>
    <xf numFmtId="43" fontId="29" fillId="0" borderId="54" xfId="1" applyFont="1" applyFill="1" applyBorder="1"/>
    <xf numFmtId="10" fontId="29" fillId="0" borderId="54" xfId="3" applyNumberFormat="1" applyFont="1" applyBorder="1"/>
    <xf numFmtId="43" fontId="29" fillId="0" borderId="54" xfId="0" applyNumberFormat="1" applyFont="1" applyBorder="1"/>
    <xf numFmtId="43" fontId="28" fillId="0" borderId="54" xfId="1" applyFont="1" applyBorder="1" applyAlignment="1"/>
    <xf numFmtId="43" fontId="28" fillId="0" borderId="54" xfId="1" applyFont="1" applyBorder="1"/>
    <xf numFmtId="0" fontId="0" fillId="0" borderId="13" xfId="0" applyFill="1" applyBorder="1" applyAlignment="1">
      <alignment wrapText="1"/>
    </xf>
    <xf numFmtId="43" fontId="28" fillId="0" borderId="14" xfId="1" applyFont="1" applyFill="1" applyBorder="1"/>
    <xf numFmtId="2" fontId="28" fillId="0" borderId="14" xfId="1" applyNumberFormat="1" applyFont="1" applyFill="1" applyBorder="1"/>
    <xf numFmtId="2" fontId="28" fillId="0" borderId="14" xfId="1" applyNumberFormat="1" applyFont="1" applyBorder="1"/>
    <xf numFmtId="0" fontId="0" fillId="0" borderId="9" xfId="0" applyFill="1" applyBorder="1" applyAlignment="1">
      <alignment wrapText="1"/>
    </xf>
    <xf numFmtId="43" fontId="28" fillId="0" borderId="10" xfId="1" applyFont="1" applyFill="1" applyBorder="1"/>
    <xf numFmtId="43" fontId="27" fillId="0" borderId="10" xfId="1" applyFont="1" applyFill="1" applyBorder="1" applyAlignment="1">
      <alignment horizontal="center"/>
    </xf>
    <xf numFmtId="0" fontId="0" fillId="0" borderId="55" xfId="0" applyFill="1" applyBorder="1" applyAlignment="1">
      <alignment wrapText="1"/>
    </xf>
    <xf numFmtId="43" fontId="28" fillId="0" borderId="56" xfId="1" applyFont="1" applyFill="1" applyBorder="1"/>
    <xf numFmtId="10" fontId="28" fillId="0" borderId="56" xfId="3" applyNumberFormat="1" applyFont="1" applyBorder="1"/>
    <xf numFmtId="43" fontId="28" fillId="0" borderId="56" xfId="0" applyNumberFormat="1" applyFont="1" applyBorder="1"/>
    <xf numFmtId="43" fontId="28" fillId="0" borderId="56" xfId="1" applyFont="1" applyBorder="1" applyAlignment="1"/>
    <xf numFmtId="43" fontId="28" fillId="0" borderId="56" xfId="1" applyFont="1" applyBorder="1"/>
    <xf numFmtId="2" fontId="28" fillId="0" borderId="10" xfId="1" applyNumberFormat="1" applyFont="1" applyFill="1" applyBorder="1"/>
    <xf numFmtId="2" fontId="28" fillId="0" borderId="10" xfId="1" applyNumberFormat="1" applyFont="1" applyBorder="1"/>
    <xf numFmtId="2" fontId="28" fillId="0" borderId="56" xfId="1" applyNumberFormat="1" applyFont="1" applyFill="1" applyBorder="1"/>
    <xf numFmtId="2" fontId="28" fillId="0" borderId="56" xfId="1" applyNumberFormat="1" applyFont="1" applyBorder="1"/>
    <xf numFmtId="0" fontId="30" fillId="0" borderId="9" xfId="0" applyFont="1" applyFill="1" applyBorder="1" applyAlignment="1">
      <alignment wrapText="1"/>
    </xf>
    <xf numFmtId="43" fontId="30" fillId="0" borderId="10" xfId="0" applyNumberFormat="1" applyFont="1" applyBorder="1"/>
    <xf numFmtId="10" fontId="30" fillId="0" borderId="10" xfId="3" applyNumberFormat="1" applyFont="1" applyBorder="1"/>
    <xf numFmtId="43" fontId="30" fillId="0" borderId="10" xfId="1" applyFont="1" applyBorder="1"/>
    <xf numFmtId="10" fontId="30" fillId="0" borderId="11" xfId="3" applyNumberFormat="1" applyFont="1" applyBorder="1"/>
    <xf numFmtId="0" fontId="0" fillId="0" borderId="0" xfId="0" applyBorder="1"/>
    <xf numFmtId="43" fontId="0" fillId="0" borderId="0" xfId="1" applyFont="1"/>
    <xf numFmtId="0" fontId="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/>
    <xf numFmtId="0" fontId="31" fillId="0" borderId="0" xfId="0" applyFont="1" applyFill="1" applyBorder="1"/>
    <xf numFmtId="1" fontId="5" fillId="0" borderId="9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/>
    </xf>
    <xf numFmtId="43" fontId="5" fillId="0" borderId="10" xfId="1" applyFont="1" applyFill="1" applyBorder="1" applyAlignment="1">
      <alignment horizontal="center" vertical="top"/>
    </xf>
    <xf numFmtId="0" fontId="32" fillId="0" borderId="12" xfId="0" applyFont="1" applyBorder="1" applyAlignment="1">
      <alignment vertical="center"/>
    </xf>
    <xf numFmtId="0" fontId="33" fillId="0" borderId="8" xfId="0" applyFont="1" applyBorder="1" applyAlignment="1">
      <alignment vertical="center" wrapText="1"/>
    </xf>
    <xf numFmtId="0" fontId="33" fillId="0" borderId="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</cellXfs>
  <cellStyles count="4">
    <cellStyle name="Énfasis1" xfId="2" builtinId="29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95250</xdr:rowOff>
    </xdr:from>
    <xdr:to>
      <xdr:col>4</xdr:col>
      <xdr:colOff>390525</xdr:colOff>
      <xdr:row>5</xdr:row>
      <xdr:rowOff>161925</xdr:rowOff>
    </xdr:to>
    <xdr:pic>
      <xdr:nvPicPr>
        <xdr:cNvPr id="2" name="Picture 2" descr="IDESAN NOS U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85750"/>
          <a:ext cx="4352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142875</xdr:rowOff>
    </xdr:from>
    <xdr:to>
      <xdr:col>3</xdr:col>
      <xdr:colOff>942974</xdr:colOff>
      <xdr:row>6</xdr:row>
      <xdr:rowOff>0</xdr:rowOff>
    </xdr:to>
    <xdr:pic>
      <xdr:nvPicPr>
        <xdr:cNvPr id="2" name="Picture 2" descr="IDESAN NOS U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33375"/>
          <a:ext cx="36385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79"/>
  <sheetViews>
    <sheetView tabSelected="1" topLeftCell="B2" zoomScaleNormal="100" workbookViewId="0">
      <selection activeCell="B2" sqref="B2:X175"/>
    </sheetView>
  </sheetViews>
  <sheetFormatPr baseColWidth="10" defaultRowHeight="15" x14ac:dyDescent="0.25"/>
  <cols>
    <col min="1" max="2" width="11.42578125" style="1"/>
    <col min="3" max="3" width="9.28515625" style="1" customWidth="1"/>
    <col min="4" max="4" width="40.85546875" style="1" customWidth="1"/>
    <col min="5" max="5" width="10.28515625" style="1" customWidth="1"/>
    <col min="6" max="6" width="9" style="1" customWidth="1"/>
    <col min="7" max="7" width="10" style="1" customWidth="1"/>
    <col min="8" max="8" width="13.7109375" style="1" customWidth="1"/>
    <col min="9" max="9" width="15.7109375" style="1" hidden="1" customWidth="1"/>
    <col min="10" max="10" width="18.28515625" style="1" bestFit="1" customWidth="1"/>
    <col min="11" max="11" width="26.42578125" style="1" customWidth="1"/>
    <col min="12" max="12" width="22" style="1" customWidth="1"/>
    <col min="13" max="13" width="19.28515625" style="1" bestFit="1" customWidth="1"/>
    <col min="14" max="14" width="19.28515625" style="1" customWidth="1"/>
    <col min="15" max="15" width="15.85546875" style="2" hidden="1" customWidth="1"/>
    <col min="16" max="16" width="15.85546875" style="2" customWidth="1"/>
    <col min="17" max="17" width="14.5703125" style="1" customWidth="1"/>
    <col min="18" max="18" width="14.85546875" style="1" customWidth="1"/>
    <col min="19" max="20" width="15" style="1" customWidth="1"/>
    <col min="21" max="21" width="11.42578125" style="1"/>
    <col min="22" max="22" width="15.85546875" style="1" customWidth="1"/>
    <col min="23" max="23" width="14.140625" style="1" customWidth="1"/>
    <col min="24" max="24" width="16" style="1" customWidth="1"/>
    <col min="25" max="233" width="11.42578125" style="1"/>
    <col min="234" max="234" width="9.28515625" style="1" customWidth="1"/>
    <col min="235" max="235" width="40.85546875" style="1" customWidth="1"/>
    <col min="236" max="236" width="10.28515625" style="1" customWidth="1"/>
    <col min="237" max="237" width="9" style="1" customWidth="1"/>
    <col min="238" max="238" width="10" style="1" customWidth="1"/>
    <col min="239" max="239" width="13.7109375" style="1" customWidth="1"/>
    <col min="240" max="240" width="0" style="1" hidden="1" customWidth="1"/>
    <col min="241" max="241" width="18.28515625" style="1" bestFit="1" customWidth="1"/>
    <col min="242" max="242" width="26.42578125" style="1" customWidth="1"/>
    <col min="243" max="243" width="22" style="1" customWidth="1"/>
    <col min="244" max="244" width="19.28515625" style="1" bestFit="1" customWidth="1"/>
    <col min="245" max="245" width="19.28515625" style="1" customWidth="1"/>
    <col min="246" max="246" width="15.7109375" style="1" customWidth="1"/>
    <col min="247" max="247" width="0" style="1" hidden="1" customWidth="1"/>
    <col min="248" max="248" width="21.42578125" style="1" customWidth="1"/>
    <col min="249" max="489" width="11.42578125" style="1"/>
    <col min="490" max="490" width="9.28515625" style="1" customWidth="1"/>
    <col min="491" max="491" width="40.85546875" style="1" customWidth="1"/>
    <col min="492" max="492" width="10.28515625" style="1" customWidth="1"/>
    <col min="493" max="493" width="9" style="1" customWidth="1"/>
    <col min="494" max="494" width="10" style="1" customWidth="1"/>
    <col min="495" max="495" width="13.7109375" style="1" customWidth="1"/>
    <col min="496" max="496" width="0" style="1" hidden="1" customWidth="1"/>
    <col min="497" max="497" width="18.28515625" style="1" bestFit="1" customWidth="1"/>
    <col min="498" max="498" width="26.42578125" style="1" customWidth="1"/>
    <col min="499" max="499" width="22" style="1" customWidth="1"/>
    <col min="500" max="500" width="19.28515625" style="1" bestFit="1" customWidth="1"/>
    <col min="501" max="501" width="19.28515625" style="1" customWidth="1"/>
    <col min="502" max="502" width="15.7109375" style="1" customWidth="1"/>
    <col min="503" max="503" width="0" style="1" hidden="1" customWidth="1"/>
    <col min="504" max="504" width="21.42578125" style="1" customWidth="1"/>
    <col min="505" max="745" width="11.42578125" style="1"/>
    <col min="746" max="746" width="9.28515625" style="1" customWidth="1"/>
    <col min="747" max="747" width="40.85546875" style="1" customWidth="1"/>
    <col min="748" max="748" width="10.28515625" style="1" customWidth="1"/>
    <col min="749" max="749" width="9" style="1" customWidth="1"/>
    <col min="750" max="750" width="10" style="1" customWidth="1"/>
    <col min="751" max="751" width="13.7109375" style="1" customWidth="1"/>
    <col min="752" max="752" width="0" style="1" hidden="1" customWidth="1"/>
    <col min="753" max="753" width="18.28515625" style="1" bestFit="1" customWidth="1"/>
    <col min="754" max="754" width="26.42578125" style="1" customWidth="1"/>
    <col min="755" max="755" width="22" style="1" customWidth="1"/>
    <col min="756" max="756" width="19.28515625" style="1" bestFit="1" customWidth="1"/>
    <col min="757" max="757" width="19.28515625" style="1" customWidth="1"/>
    <col min="758" max="758" width="15.7109375" style="1" customWidth="1"/>
    <col min="759" max="759" width="0" style="1" hidden="1" customWidth="1"/>
    <col min="760" max="760" width="21.42578125" style="1" customWidth="1"/>
    <col min="761" max="1001" width="11.42578125" style="1"/>
    <col min="1002" max="1002" width="9.28515625" style="1" customWidth="1"/>
    <col min="1003" max="1003" width="40.85546875" style="1" customWidth="1"/>
    <col min="1004" max="1004" width="10.28515625" style="1" customWidth="1"/>
    <col min="1005" max="1005" width="9" style="1" customWidth="1"/>
    <col min="1006" max="1006" width="10" style="1" customWidth="1"/>
    <col min="1007" max="1007" width="13.7109375" style="1" customWidth="1"/>
    <col min="1008" max="1008" width="0" style="1" hidden="1" customWidth="1"/>
    <col min="1009" max="1009" width="18.28515625" style="1" bestFit="1" customWidth="1"/>
    <col min="1010" max="1010" width="26.42578125" style="1" customWidth="1"/>
    <col min="1011" max="1011" width="22" style="1" customWidth="1"/>
    <col min="1012" max="1012" width="19.28515625" style="1" bestFit="1" customWidth="1"/>
    <col min="1013" max="1013" width="19.28515625" style="1" customWidth="1"/>
    <col min="1014" max="1014" width="15.7109375" style="1" customWidth="1"/>
    <col min="1015" max="1015" width="0" style="1" hidden="1" customWidth="1"/>
    <col min="1016" max="1016" width="21.42578125" style="1" customWidth="1"/>
    <col min="1017" max="1257" width="11.42578125" style="1"/>
    <col min="1258" max="1258" width="9.28515625" style="1" customWidth="1"/>
    <col min="1259" max="1259" width="40.85546875" style="1" customWidth="1"/>
    <col min="1260" max="1260" width="10.28515625" style="1" customWidth="1"/>
    <col min="1261" max="1261" width="9" style="1" customWidth="1"/>
    <col min="1262" max="1262" width="10" style="1" customWidth="1"/>
    <col min="1263" max="1263" width="13.7109375" style="1" customWidth="1"/>
    <col min="1264" max="1264" width="0" style="1" hidden="1" customWidth="1"/>
    <col min="1265" max="1265" width="18.28515625" style="1" bestFit="1" customWidth="1"/>
    <col min="1266" max="1266" width="26.42578125" style="1" customWidth="1"/>
    <col min="1267" max="1267" width="22" style="1" customWidth="1"/>
    <col min="1268" max="1268" width="19.28515625" style="1" bestFit="1" customWidth="1"/>
    <col min="1269" max="1269" width="19.28515625" style="1" customWidth="1"/>
    <col min="1270" max="1270" width="15.7109375" style="1" customWidth="1"/>
    <col min="1271" max="1271" width="0" style="1" hidden="1" customWidth="1"/>
    <col min="1272" max="1272" width="21.42578125" style="1" customWidth="1"/>
    <col min="1273" max="1513" width="11.42578125" style="1"/>
    <col min="1514" max="1514" width="9.28515625" style="1" customWidth="1"/>
    <col min="1515" max="1515" width="40.85546875" style="1" customWidth="1"/>
    <col min="1516" max="1516" width="10.28515625" style="1" customWidth="1"/>
    <col min="1517" max="1517" width="9" style="1" customWidth="1"/>
    <col min="1518" max="1518" width="10" style="1" customWidth="1"/>
    <col min="1519" max="1519" width="13.7109375" style="1" customWidth="1"/>
    <col min="1520" max="1520" width="0" style="1" hidden="1" customWidth="1"/>
    <col min="1521" max="1521" width="18.28515625" style="1" bestFit="1" customWidth="1"/>
    <col min="1522" max="1522" width="26.42578125" style="1" customWidth="1"/>
    <col min="1523" max="1523" width="22" style="1" customWidth="1"/>
    <col min="1524" max="1524" width="19.28515625" style="1" bestFit="1" customWidth="1"/>
    <col min="1525" max="1525" width="19.28515625" style="1" customWidth="1"/>
    <col min="1526" max="1526" width="15.7109375" style="1" customWidth="1"/>
    <col min="1527" max="1527" width="0" style="1" hidden="1" customWidth="1"/>
    <col min="1528" max="1528" width="21.42578125" style="1" customWidth="1"/>
    <col min="1529" max="1769" width="11.42578125" style="1"/>
    <col min="1770" max="1770" width="9.28515625" style="1" customWidth="1"/>
    <col min="1771" max="1771" width="40.85546875" style="1" customWidth="1"/>
    <col min="1772" max="1772" width="10.28515625" style="1" customWidth="1"/>
    <col min="1773" max="1773" width="9" style="1" customWidth="1"/>
    <col min="1774" max="1774" width="10" style="1" customWidth="1"/>
    <col min="1775" max="1775" width="13.7109375" style="1" customWidth="1"/>
    <col min="1776" max="1776" width="0" style="1" hidden="1" customWidth="1"/>
    <col min="1777" max="1777" width="18.28515625" style="1" bestFit="1" customWidth="1"/>
    <col min="1778" max="1778" width="26.42578125" style="1" customWidth="1"/>
    <col min="1779" max="1779" width="22" style="1" customWidth="1"/>
    <col min="1780" max="1780" width="19.28515625" style="1" bestFit="1" customWidth="1"/>
    <col min="1781" max="1781" width="19.28515625" style="1" customWidth="1"/>
    <col min="1782" max="1782" width="15.7109375" style="1" customWidth="1"/>
    <col min="1783" max="1783" width="0" style="1" hidden="1" customWidth="1"/>
    <col min="1784" max="1784" width="21.42578125" style="1" customWidth="1"/>
    <col min="1785" max="2025" width="11.42578125" style="1"/>
    <col min="2026" max="2026" width="9.28515625" style="1" customWidth="1"/>
    <col min="2027" max="2027" width="40.85546875" style="1" customWidth="1"/>
    <col min="2028" max="2028" width="10.28515625" style="1" customWidth="1"/>
    <col min="2029" max="2029" width="9" style="1" customWidth="1"/>
    <col min="2030" max="2030" width="10" style="1" customWidth="1"/>
    <col min="2031" max="2031" width="13.7109375" style="1" customWidth="1"/>
    <col min="2032" max="2032" width="0" style="1" hidden="1" customWidth="1"/>
    <col min="2033" max="2033" width="18.28515625" style="1" bestFit="1" customWidth="1"/>
    <col min="2034" max="2034" width="26.42578125" style="1" customWidth="1"/>
    <col min="2035" max="2035" width="22" style="1" customWidth="1"/>
    <col min="2036" max="2036" width="19.28515625" style="1" bestFit="1" customWidth="1"/>
    <col min="2037" max="2037" width="19.28515625" style="1" customWidth="1"/>
    <col min="2038" max="2038" width="15.7109375" style="1" customWidth="1"/>
    <col min="2039" max="2039" width="0" style="1" hidden="1" customWidth="1"/>
    <col min="2040" max="2040" width="21.42578125" style="1" customWidth="1"/>
    <col min="2041" max="2281" width="11.42578125" style="1"/>
    <col min="2282" max="2282" width="9.28515625" style="1" customWidth="1"/>
    <col min="2283" max="2283" width="40.85546875" style="1" customWidth="1"/>
    <col min="2284" max="2284" width="10.28515625" style="1" customWidth="1"/>
    <col min="2285" max="2285" width="9" style="1" customWidth="1"/>
    <col min="2286" max="2286" width="10" style="1" customWidth="1"/>
    <col min="2287" max="2287" width="13.7109375" style="1" customWidth="1"/>
    <col min="2288" max="2288" width="0" style="1" hidden="1" customWidth="1"/>
    <col min="2289" max="2289" width="18.28515625" style="1" bestFit="1" customWidth="1"/>
    <col min="2290" max="2290" width="26.42578125" style="1" customWidth="1"/>
    <col min="2291" max="2291" width="22" style="1" customWidth="1"/>
    <col min="2292" max="2292" width="19.28515625" style="1" bestFit="1" customWidth="1"/>
    <col min="2293" max="2293" width="19.28515625" style="1" customWidth="1"/>
    <col min="2294" max="2294" width="15.7109375" style="1" customWidth="1"/>
    <col min="2295" max="2295" width="0" style="1" hidden="1" customWidth="1"/>
    <col min="2296" max="2296" width="21.42578125" style="1" customWidth="1"/>
    <col min="2297" max="2537" width="11.42578125" style="1"/>
    <col min="2538" max="2538" width="9.28515625" style="1" customWidth="1"/>
    <col min="2539" max="2539" width="40.85546875" style="1" customWidth="1"/>
    <col min="2540" max="2540" width="10.28515625" style="1" customWidth="1"/>
    <col min="2541" max="2541" width="9" style="1" customWidth="1"/>
    <col min="2542" max="2542" width="10" style="1" customWidth="1"/>
    <col min="2543" max="2543" width="13.7109375" style="1" customWidth="1"/>
    <col min="2544" max="2544" width="0" style="1" hidden="1" customWidth="1"/>
    <col min="2545" max="2545" width="18.28515625" style="1" bestFit="1" customWidth="1"/>
    <col min="2546" max="2546" width="26.42578125" style="1" customWidth="1"/>
    <col min="2547" max="2547" width="22" style="1" customWidth="1"/>
    <col min="2548" max="2548" width="19.28515625" style="1" bestFit="1" customWidth="1"/>
    <col min="2549" max="2549" width="19.28515625" style="1" customWidth="1"/>
    <col min="2550" max="2550" width="15.7109375" style="1" customWidth="1"/>
    <col min="2551" max="2551" width="0" style="1" hidden="1" customWidth="1"/>
    <col min="2552" max="2552" width="21.42578125" style="1" customWidth="1"/>
    <col min="2553" max="2793" width="11.42578125" style="1"/>
    <col min="2794" max="2794" width="9.28515625" style="1" customWidth="1"/>
    <col min="2795" max="2795" width="40.85546875" style="1" customWidth="1"/>
    <col min="2796" max="2796" width="10.28515625" style="1" customWidth="1"/>
    <col min="2797" max="2797" width="9" style="1" customWidth="1"/>
    <col min="2798" max="2798" width="10" style="1" customWidth="1"/>
    <col min="2799" max="2799" width="13.7109375" style="1" customWidth="1"/>
    <col min="2800" max="2800" width="0" style="1" hidden="1" customWidth="1"/>
    <col min="2801" max="2801" width="18.28515625" style="1" bestFit="1" customWidth="1"/>
    <col min="2802" max="2802" width="26.42578125" style="1" customWidth="1"/>
    <col min="2803" max="2803" width="22" style="1" customWidth="1"/>
    <col min="2804" max="2804" width="19.28515625" style="1" bestFit="1" customWidth="1"/>
    <col min="2805" max="2805" width="19.28515625" style="1" customWidth="1"/>
    <col min="2806" max="2806" width="15.7109375" style="1" customWidth="1"/>
    <col min="2807" max="2807" width="0" style="1" hidden="1" customWidth="1"/>
    <col min="2808" max="2808" width="21.42578125" style="1" customWidth="1"/>
    <col min="2809" max="3049" width="11.42578125" style="1"/>
    <col min="3050" max="3050" width="9.28515625" style="1" customWidth="1"/>
    <col min="3051" max="3051" width="40.85546875" style="1" customWidth="1"/>
    <col min="3052" max="3052" width="10.28515625" style="1" customWidth="1"/>
    <col min="3053" max="3053" width="9" style="1" customWidth="1"/>
    <col min="3054" max="3054" width="10" style="1" customWidth="1"/>
    <col min="3055" max="3055" width="13.7109375" style="1" customWidth="1"/>
    <col min="3056" max="3056" width="0" style="1" hidden="1" customWidth="1"/>
    <col min="3057" max="3057" width="18.28515625" style="1" bestFit="1" customWidth="1"/>
    <col min="3058" max="3058" width="26.42578125" style="1" customWidth="1"/>
    <col min="3059" max="3059" width="22" style="1" customWidth="1"/>
    <col min="3060" max="3060" width="19.28515625" style="1" bestFit="1" customWidth="1"/>
    <col min="3061" max="3061" width="19.28515625" style="1" customWidth="1"/>
    <col min="3062" max="3062" width="15.7109375" style="1" customWidth="1"/>
    <col min="3063" max="3063" width="0" style="1" hidden="1" customWidth="1"/>
    <col min="3064" max="3064" width="21.42578125" style="1" customWidth="1"/>
    <col min="3065" max="3305" width="11.42578125" style="1"/>
    <col min="3306" max="3306" width="9.28515625" style="1" customWidth="1"/>
    <col min="3307" max="3307" width="40.85546875" style="1" customWidth="1"/>
    <col min="3308" max="3308" width="10.28515625" style="1" customWidth="1"/>
    <col min="3309" max="3309" width="9" style="1" customWidth="1"/>
    <col min="3310" max="3310" width="10" style="1" customWidth="1"/>
    <col min="3311" max="3311" width="13.7109375" style="1" customWidth="1"/>
    <col min="3312" max="3312" width="0" style="1" hidden="1" customWidth="1"/>
    <col min="3313" max="3313" width="18.28515625" style="1" bestFit="1" customWidth="1"/>
    <col min="3314" max="3314" width="26.42578125" style="1" customWidth="1"/>
    <col min="3315" max="3315" width="22" style="1" customWidth="1"/>
    <col min="3316" max="3316" width="19.28515625" style="1" bestFit="1" customWidth="1"/>
    <col min="3317" max="3317" width="19.28515625" style="1" customWidth="1"/>
    <col min="3318" max="3318" width="15.7109375" style="1" customWidth="1"/>
    <col min="3319" max="3319" width="0" style="1" hidden="1" customWidth="1"/>
    <col min="3320" max="3320" width="21.42578125" style="1" customWidth="1"/>
    <col min="3321" max="3561" width="11.42578125" style="1"/>
    <col min="3562" max="3562" width="9.28515625" style="1" customWidth="1"/>
    <col min="3563" max="3563" width="40.85546875" style="1" customWidth="1"/>
    <col min="3564" max="3564" width="10.28515625" style="1" customWidth="1"/>
    <col min="3565" max="3565" width="9" style="1" customWidth="1"/>
    <col min="3566" max="3566" width="10" style="1" customWidth="1"/>
    <col min="3567" max="3567" width="13.7109375" style="1" customWidth="1"/>
    <col min="3568" max="3568" width="0" style="1" hidden="1" customWidth="1"/>
    <col min="3569" max="3569" width="18.28515625" style="1" bestFit="1" customWidth="1"/>
    <col min="3570" max="3570" width="26.42578125" style="1" customWidth="1"/>
    <col min="3571" max="3571" width="22" style="1" customWidth="1"/>
    <col min="3572" max="3572" width="19.28515625" style="1" bestFit="1" customWidth="1"/>
    <col min="3573" max="3573" width="19.28515625" style="1" customWidth="1"/>
    <col min="3574" max="3574" width="15.7109375" style="1" customWidth="1"/>
    <col min="3575" max="3575" width="0" style="1" hidden="1" customWidth="1"/>
    <col min="3576" max="3576" width="21.42578125" style="1" customWidth="1"/>
    <col min="3577" max="3817" width="11.42578125" style="1"/>
    <col min="3818" max="3818" width="9.28515625" style="1" customWidth="1"/>
    <col min="3819" max="3819" width="40.85546875" style="1" customWidth="1"/>
    <col min="3820" max="3820" width="10.28515625" style="1" customWidth="1"/>
    <col min="3821" max="3821" width="9" style="1" customWidth="1"/>
    <col min="3822" max="3822" width="10" style="1" customWidth="1"/>
    <col min="3823" max="3823" width="13.7109375" style="1" customWidth="1"/>
    <col min="3824" max="3824" width="0" style="1" hidden="1" customWidth="1"/>
    <col min="3825" max="3825" width="18.28515625" style="1" bestFit="1" customWidth="1"/>
    <col min="3826" max="3826" width="26.42578125" style="1" customWidth="1"/>
    <col min="3827" max="3827" width="22" style="1" customWidth="1"/>
    <col min="3828" max="3828" width="19.28515625" style="1" bestFit="1" customWidth="1"/>
    <col min="3829" max="3829" width="19.28515625" style="1" customWidth="1"/>
    <col min="3830" max="3830" width="15.7109375" style="1" customWidth="1"/>
    <col min="3831" max="3831" width="0" style="1" hidden="1" customWidth="1"/>
    <col min="3832" max="3832" width="21.42578125" style="1" customWidth="1"/>
    <col min="3833" max="4073" width="11.42578125" style="1"/>
    <col min="4074" max="4074" width="9.28515625" style="1" customWidth="1"/>
    <col min="4075" max="4075" width="40.85546875" style="1" customWidth="1"/>
    <col min="4076" max="4076" width="10.28515625" style="1" customWidth="1"/>
    <col min="4077" max="4077" width="9" style="1" customWidth="1"/>
    <col min="4078" max="4078" width="10" style="1" customWidth="1"/>
    <col min="4079" max="4079" width="13.7109375" style="1" customWidth="1"/>
    <col min="4080" max="4080" width="0" style="1" hidden="1" customWidth="1"/>
    <col min="4081" max="4081" width="18.28515625" style="1" bestFit="1" customWidth="1"/>
    <col min="4082" max="4082" width="26.42578125" style="1" customWidth="1"/>
    <col min="4083" max="4083" width="22" style="1" customWidth="1"/>
    <col min="4084" max="4084" width="19.28515625" style="1" bestFit="1" customWidth="1"/>
    <col min="4085" max="4085" width="19.28515625" style="1" customWidth="1"/>
    <col min="4086" max="4086" width="15.7109375" style="1" customWidth="1"/>
    <col min="4087" max="4087" width="0" style="1" hidden="1" customWidth="1"/>
    <col min="4088" max="4088" width="21.42578125" style="1" customWidth="1"/>
    <col min="4089" max="4329" width="11.42578125" style="1"/>
    <col min="4330" max="4330" width="9.28515625" style="1" customWidth="1"/>
    <col min="4331" max="4331" width="40.85546875" style="1" customWidth="1"/>
    <col min="4332" max="4332" width="10.28515625" style="1" customWidth="1"/>
    <col min="4333" max="4333" width="9" style="1" customWidth="1"/>
    <col min="4334" max="4334" width="10" style="1" customWidth="1"/>
    <col min="4335" max="4335" width="13.7109375" style="1" customWidth="1"/>
    <col min="4336" max="4336" width="0" style="1" hidden="1" customWidth="1"/>
    <col min="4337" max="4337" width="18.28515625" style="1" bestFit="1" customWidth="1"/>
    <col min="4338" max="4338" width="26.42578125" style="1" customWidth="1"/>
    <col min="4339" max="4339" width="22" style="1" customWidth="1"/>
    <col min="4340" max="4340" width="19.28515625" style="1" bestFit="1" customWidth="1"/>
    <col min="4341" max="4341" width="19.28515625" style="1" customWidth="1"/>
    <col min="4342" max="4342" width="15.7109375" style="1" customWidth="1"/>
    <col min="4343" max="4343" width="0" style="1" hidden="1" customWidth="1"/>
    <col min="4344" max="4344" width="21.42578125" style="1" customWidth="1"/>
    <col min="4345" max="4585" width="11.42578125" style="1"/>
    <col min="4586" max="4586" width="9.28515625" style="1" customWidth="1"/>
    <col min="4587" max="4587" width="40.85546875" style="1" customWidth="1"/>
    <col min="4588" max="4588" width="10.28515625" style="1" customWidth="1"/>
    <col min="4589" max="4589" width="9" style="1" customWidth="1"/>
    <col min="4590" max="4590" width="10" style="1" customWidth="1"/>
    <col min="4591" max="4591" width="13.7109375" style="1" customWidth="1"/>
    <col min="4592" max="4592" width="0" style="1" hidden="1" customWidth="1"/>
    <col min="4593" max="4593" width="18.28515625" style="1" bestFit="1" customWidth="1"/>
    <col min="4594" max="4594" width="26.42578125" style="1" customWidth="1"/>
    <col min="4595" max="4595" width="22" style="1" customWidth="1"/>
    <col min="4596" max="4596" width="19.28515625" style="1" bestFit="1" customWidth="1"/>
    <col min="4597" max="4597" width="19.28515625" style="1" customWidth="1"/>
    <col min="4598" max="4598" width="15.7109375" style="1" customWidth="1"/>
    <col min="4599" max="4599" width="0" style="1" hidden="1" customWidth="1"/>
    <col min="4600" max="4600" width="21.42578125" style="1" customWidth="1"/>
    <col min="4601" max="4841" width="11.42578125" style="1"/>
    <col min="4842" max="4842" width="9.28515625" style="1" customWidth="1"/>
    <col min="4843" max="4843" width="40.85546875" style="1" customWidth="1"/>
    <col min="4844" max="4844" width="10.28515625" style="1" customWidth="1"/>
    <col min="4845" max="4845" width="9" style="1" customWidth="1"/>
    <col min="4846" max="4846" width="10" style="1" customWidth="1"/>
    <col min="4847" max="4847" width="13.7109375" style="1" customWidth="1"/>
    <col min="4848" max="4848" width="0" style="1" hidden="1" customWidth="1"/>
    <col min="4849" max="4849" width="18.28515625" style="1" bestFit="1" customWidth="1"/>
    <col min="4850" max="4850" width="26.42578125" style="1" customWidth="1"/>
    <col min="4851" max="4851" width="22" style="1" customWidth="1"/>
    <col min="4852" max="4852" width="19.28515625" style="1" bestFit="1" customWidth="1"/>
    <col min="4853" max="4853" width="19.28515625" style="1" customWidth="1"/>
    <col min="4854" max="4854" width="15.7109375" style="1" customWidth="1"/>
    <col min="4855" max="4855" width="0" style="1" hidden="1" customWidth="1"/>
    <col min="4856" max="4856" width="21.42578125" style="1" customWidth="1"/>
    <col min="4857" max="5097" width="11.42578125" style="1"/>
    <col min="5098" max="5098" width="9.28515625" style="1" customWidth="1"/>
    <col min="5099" max="5099" width="40.85546875" style="1" customWidth="1"/>
    <col min="5100" max="5100" width="10.28515625" style="1" customWidth="1"/>
    <col min="5101" max="5101" width="9" style="1" customWidth="1"/>
    <col min="5102" max="5102" width="10" style="1" customWidth="1"/>
    <col min="5103" max="5103" width="13.7109375" style="1" customWidth="1"/>
    <col min="5104" max="5104" width="0" style="1" hidden="1" customWidth="1"/>
    <col min="5105" max="5105" width="18.28515625" style="1" bestFit="1" customWidth="1"/>
    <col min="5106" max="5106" width="26.42578125" style="1" customWidth="1"/>
    <col min="5107" max="5107" width="22" style="1" customWidth="1"/>
    <col min="5108" max="5108" width="19.28515625" style="1" bestFit="1" customWidth="1"/>
    <col min="5109" max="5109" width="19.28515625" style="1" customWidth="1"/>
    <col min="5110" max="5110" width="15.7109375" style="1" customWidth="1"/>
    <col min="5111" max="5111" width="0" style="1" hidden="1" customWidth="1"/>
    <col min="5112" max="5112" width="21.42578125" style="1" customWidth="1"/>
    <col min="5113" max="5353" width="11.42578125" style="1"/>
    <col min="5354" max="5354" width="9.28515625" style="1" customWidth="1"/>
    <col min="5355" max="5355" width="40.85546875" style="1" customWidth="1"/>
    <col min="5356" max="5356" width="10.28515625" style="1" customWidth="1"/>
    <col min="5357" max="5357" width="9" style="1" customWidth="1"/>
    <col min="5358" max="5358" width="10" style="1" customWidth="1"/>
    <col min="5359" max="5359" width="13.7109375" style="1" customWidth="1"/>
    <col min="5360" max="5360" width="0" style="1" hidden="1" customWidth="1"/>
    <col min="5361" max="5361" width="18.28515625" style="1" bestFit="1" customWidth="1"/>
    <col min="5362" max="5362" width="26.42578125" style="1" customWidth="1"/>
    <col min="5363" max="5363" width="22" style="1" customWidth="1"/>
    <col min="5364" max="5364" width="19.28515625" style="1" bestFit="1" customWidth="1"/>
    <col min="5365" max="5365" width="19.28515625" style="1" customWidth="1"/>
    <col min="5366" max="5366" width="15.7109375" style="1" customWidth="1"/>
    <col min="5367" max="5367" width="0" style="1" hidden="1" customWidth="1"/>
    <col min="5368" max="5368" width="21.42578125" style="1" customWidth="1"/>
    <col min="5369" max="5609" width="11.42578125" style="1"/>
    <col min="5610" max="5610" width="9.28515625" style="1" customWidth="1"/>
    <col min="5611" max="5611" width="40.85546875" style="1" customWidth="1"/>
    <col min="5612" max="5612" width="10.28515625" style="1" customWidth="1"/>
    <col min="5613" max="5613" width="9" style="1" customWidth="1"/>
    <col min="5614" max="5614" width="10" style="1" customWidth="1"/>
    <col min="5615" max="5615" width="13.7109375" style="1" customWidth="1"/>
    <col min="5616" max="5616" width="0" style="1" hidden="1" customWidth="1"/>
    <col min="5617" max="5617" width="18.28515625" style="1" bestFit="1" customWidth="1"/>
    <col min="5618" max="5618" width="26.42578125" style="1" customWidth="1"/>
    <col min="5619" max="5619" width="22" style="1" customWidth="1"/>
    <col min="5620" max="5620" width="19.28515625" style="1" bestFit="1" customWidth="1"/>
    <col min="5621" max="5621" width="19.28515625" style="1" customWidth="1"/>
    <col min="5622" max="5622" width="15.7109375" style="1" customWidth="1"/>
    <col min="5623" max="5623" width="0" style="1" hidden="1" customWidth="1"/>
    <col min="5624" max="5624" width="21.42578125" style="1" customWidth="1"/>
    <col min="5625" max="5865" width="11.42578125" style="1"/>
    <col min="5866" max="5866" width="9.28515625" style="1" customWidth="1"/>
    <col min="5867" max="5867" width="40.85546875" style="1" customWidth="1"/>
    <col min="5868" max="5868" width="10.28515625" style="1" customWidth="1"/>
    <col min="5869" max="5869" width="9" style="1" customWidth="1"/>
    <col min="5870" max="5870" width="10" style="1" customWidth="1"/>
    <col min="5871" max="5871" width="13.7109375" style="1" customWidth="1"/>
    <col min="5872" max="5872" width="0" style="1" hidden="1" customWidth="1"/>
    <col min="5873" max="5873" width="18.28515625" style="1" bestFit="1" customWidth="1"/>
    <col min="5874" max="5874" width="26.42578125" style="1" customWidth="1"/>
    <col min="5875" max="5875" width="22" style="1" customWidth="1"/>
    <col min="5876" max="5876" width="19.28515625" style="1" bestFit="1" customWidth="1"/>
    <col min="5877" max="5877" width="19.28515625" style="1" customWidth="1"/>
    <col min="5878" max="5878" width="15.7109375" style="1" customWidth="1"/>
    <col min="5879" max="5879" width="0" style="1" hidden="1" customWidth="1"/>
    <col min="5880" max="5880" width="21.42578125" style="1" customWidth="1"/>
    <col min="5881" max="6121" width="11.42578125" style="1"/>
    <col min="6122" max="6122" width="9.28515625" style="1" customWidth="1"/>
    <col min="6123" max="6123" width="40.85546875" style="1" customWidth="1"/>
    <col min="6124" max="6124" width="10.28515625" style="1" customWidth="1"/>
    <col min="6125" max="6125" width="9" style="1" customWidth="1"/>
    <col min="6126" max="6126" width="10" style="1" customWidth="1"/>
    <col min="6127" max="6127" width="13.7109375" style="1" customWidth="1"/>
    <col min="6128" max="6128" width="0" style="1" hidden="1" customWidth="1"/>
    <col min="6129" max="6129" width="18.28515625" style="1" bestFit="1" customWidth="1"/>
    <col min="6130" max="6130" width="26.42578125" style="1" customWidth="1"/>
    <col min="6131" max="6131" width="22" style="1" customWidth="1"/>
    <col min="6132" max="6132" width="19.28515625" style="1" bestFit="1" customWidth="1"/>
    <col min="6133" max="6133" width="19.28515625" style="1" customWidth="1"/>
    <col min="6134" max="6134" width="15.7109375" style="1" customWidth="1"/>
    <col min="6135" max="6135" width="0" style="1" hidden="1" customWidth="1"/>
    <col min="6136" max="6136" width="21.42578125" style="1" customWidth="1"/>
    <col min="6137" max="6377" width="11.42578125" style="1"/>
    <col min="6378" max="6378" width="9.28515625" style="1" customWidth="1"/>
    <col min="6379" max="6379" width="40.85546875" style="1" customWidth="1"/>
    <col min="6380" max="6380" width="10.28515625" style="1" customWidth="1"/>
    <col min="6381" max="6381" width="9" style="1" customWidth="1"/>
    <col min="6382" max="6382" width="10" style="1" customWidth="1"/>
    <col min="6383" max="6383" width="13.7109375" style="1" customWidth="1"/>
    <col min="6384" max="6384" width="0" style="1" hidden="1" customWidth="1"/>
    <col min="6385" max="6385" width="18.28515625" style="1" bestFit="1" customWidth="1"/>
    <col min="6386" max="6386" width="26.42578125" style="1" customWidth="1"/>
    <col min="6387" max="6387" width="22" style="1" customWidth="1"/>
    <col min="6388" max="6388" width="19.28515625" style="1" bestFit="1" customWidth="1"/>
    <col min="6389" max="6389" width="19.28515625" style="1" customWidth="1"/>
    <col min="6390" max="6390" width="15.7109375" style="1" customWidth="1"/>
    <col min="6391" max="6391" width="0" style="1" hidden="1" customWidth="1"/>
    <col min="6392" max="6392" width="21.42578125" style="1" customWidth="1"/>
    <col min="6393" max="6633" width="11.42578125" style="1"/>
    <col min="6634" max="6634" width="9.28515625" style="1" customWidth="1"/>
    <col min="6635" max="6635" width="40.85546875" style="1" customWidth="1"/>
    <col min="6636" max="6636" width="10.28515625" style="1" customWidth="1"/>
    <col min="6637" max="6637" width="9" style="1" customWidth="1"/>
    <col min="6638" max="6638" width="10" style="1" customWidth="1"/>
    <col min="6639" max="6639" width="13.7109375" style="1" customWidth="1"/>
    <col min="6640" max="6640" width="0" style="1" hidden="1" customWidth="1"/>
    <col min="6641" max="6641" width="18.28515625" style="1" bestFit="1" customWidth="1"/>
    <col min="6642" max="6642" width="26.42578125" style="1" customWidth="1"/>
    <col min="6643" max="6643" width="22" style="1" customWidth="1"/>
    <col min="6644" max="6644" width="19.28515625" style="1" bestFit="1" customWidth="1"/>
    <col min="6645" max="6645" width="19.28515625" style="1" customWidth="1"/>
    <col min="6646" max="6646" width="15.7109375" style="1" customWidth="1"/>
    <col min="6647" max="6647" width="0" style="1" hidden="1" customWidth="1"/>
    <col min="6648" max="6648" width="21.42578125" style="1" customWidth="1"/>
    <col min="6649" max="6889" width="11.42578125" style="1"/>
    <col min="6890" max="6890" width="9.28515625" style="1" customWidth="1"/>
    <col min="6891" max="6891" width="40.85546875" style="1" customWidth="1"/>
    <col min="6892" max="6892" width="10.28515625" style="1" customWidth="1"/>
    <col min="6893" max="6893" width="9" style="1" customWidth="1"/>
    <col min="6894" max="6894" width="10" style="1" customWidth="1"/>
    <col min="6895" max="6895" width="13.7109375" style="1" customWidth="1"/>
    <col min="6896" max="6896" width="0" style="1" hidden="1" customWidth="1"/>
    <col min="6897" max="6897" width="18.28515625" style="1" bestFit="1" customWidth="1"/>
    <col min="6898" max="6898" width="26.42578125" style="1" customWidth="1"/>
    <col min="6899" max="6899" width="22" style="1" customWidth="1"/>
    <col min="6900" max="6900" width="19.28515625" style="1" bestFit="1" customWidth="1"/>
    <col min="6901" max="6901" width="19.28515625" style="1" customWidth="1"/>
    <col min="6902" max="6902" width="15.7109375" style="1" customWidth="1"/>
    <col min="6903" max="6903" width="0" style="1" hidden="1" customWidth="1"/>
    <col min="6904" max="6904" width="21.42578125" style="1" customWidth="1"/>
    <col min="6905" max="7145" width="11.42578125" style="1"/>
    <col min="7146" max="7146" width="9.28515625" style="1" customWidth="1"/>
    <col min="7147" max="7147" width="40.85546875" style="1" customWidth="1"/>
    <col min="7148" max="7148" width="10.28515625" style="1" customWidth="1"/>
    <col min="7149" max="7149" width="9" style="1" customWidth="1"/>
    <col min="7150" max="7150" width="10" style="1" customWidth="1"/>
    <col min="7151" max="7151" width="13.7109375" style="1" customWidth="1"/>
    <col min="7152" max="7152" width="0" style="1" hidden="1" customWidth="1"/>
    <col min="7153" max="7153" width="18.28515625" style="1" bestFit="1" customWidth="1"/>
    <col min="7154" max="7154" width="26.42578125" style="1" customWidth="1"/>
    <col min="7155" max="7155" width="22" style="1" customWidth="1"/>
    <col min="7156" max="7156" width="19.28515625" style="1" bestFit="1" customWidth="1"/>
    <col min="7157" max="7157" width="19.28515625" style="1" customWidth="1"/>
    <col min="7158" max="7158" width="15.7109375" style="1" customWidth="1"/>
    <col min="7159" max="7159" width="0" style="1" hidden="1" customWidth="1"/>
    <col min="7160" max="7160" width="21.42578125" style="1" customWidth="1"/>
    <col min="7161" max="7401" width="11.42578125" style="1"/>
    <col min="7402" max="7402" width="9.28515625" style="1" customWidth="1"/>
    <col min="7403" max="7403" width="40.85546875" style="1" customWidth="1"/>
    <col min="7404" max="7404" width="10.28515625" style="1" customWidth="1"/>
    <col min="7405" max="7405" width="9" style="1" customWidth="1"/>
    <col min="7406" max="7406" width="10" style="1" customWidth="1"/>
    <col min="7407" max="7407" width="13.7109375" style="1" customWidth="1"/>
    <col min="7408" max="7408" width="0" style="1" hidden="1" customWidth="1"/>
    <col min="7409" max="7409" width="18.28515625" style="1" bestFit="1" customWidth="1"/>
    <col min="7410" max="7410" width="26.42578125" style="1" customWidth="1"/>
    <col min="7411" max="7411" width="22" style="1" customWidth="1"/>
    <col min="7412" max="7412" width="19.28515625" style="1" bestFit="1" customWidth="1"/>
    <col min="7413" max="7413" width="19.28515625" style="1" customWidth="1"/>
    <col min="7414" max="7414" width="15.7109375" style="1" customWidth="1"/>
    <col min="7415" max="7415" width="0" style="1" hidden="1" customWidth="1"/>
    <col min="7416" max="7416" width="21.42578125" style="1" customWidth="1"/>
    <col min="7417" max="7657" width="11.42578125" style="1"/>
    <col min="7658" max="7658" width="9.28515625" style="1" customWidth="1"/>
    <col min="7659" max="7659" width="40.85546875" style="1" customWidth="1"/>
    <col min="7660" max="7660" width="10.28515625" style="1" customWidth="1"/>
    <col min="7661" max="7661" width="9" style="1" customWidth="1"/>
    <col min="7662" max="7662" width="10" style="1" customWidth="1"/>
    <col min="7663" max="7663" width="13.7109375" style="1" customWidth="1"/>
    <col min="7664" max="7664" width="0" style="1" hidden="1" customWidth="1"/>
    <col min="7665" max="7665" width="18.28515625" style="1" bestFit="1" customWidth="1"/>
    <col min="7666" max="7666" width="26.42578125" style="1" customWidth="1"/>
    <col min="7667" max="7667" width="22" style="1" customWidth="1"/>
    <col min="7668" max="7668" width="19.28515625" style="1" bestFit="1" customWidth="1"/>
    <col min="7669" max="7669" width="19.28515625" style="1" customWidth="1"/>
    <col min="7670" max="7670" width="15.7109375" style="1" customWidth="1"/>
    <col min="7671" max="7671" width="0" style="1" hidden="1" customWidth="1"/>
    <col min="7672" max="7672" width="21.42578125" style="1" customWidth="1"/>
    <col min="7673" max="7913" width="11.42578125" style="1"/>
    <col min="7914" max="7914" width="9.28515625" style="1" customWidth="1"/>
    <col min="7915" max="7915" width="40.85546875" style="1" customWidth="1"/>
    <col min="7916" max="7916" width="10.28515625" style="1" customWidth="1"/>
    <col min="7917" max="7917" width="9" style="1" customWidth="1"/>
    <col min="7918" max="7918" width="10" style="1" customWidth="1"/>
    <col min="7919" max="7919" width="13.7109375" style="1" customWidth="1"/>
    <col min="7920" max="7920" width="0" style="1" hidden="1" customWidth="1"/>
    <col min="7921" max="7921" width="18.28515625" style="1" bestFit="1" customWidth="1"/>
    <col min="7922" max="7922" width="26.42578125" style="1" customWidth="1"/>
    <col min="7923" max="7923" width="22" style="1" customWidth="1"/>
    <col min="7924" max="7924" width="19.28515625" style="1" bestFit="1" customWidth="1"/>
    <col min="7925" max="7925" width="19.28515625" style="1" customWidth="1"/>
    <col min="7926" max="7926" width="15.7109375" style="1" customWidth="1"/>
    <col min="7927" max="7927" width="0" style="1" hidden="1" customWidth="1"/>
    <col min="7928" max="7928" width="21.42578125" style="1" customWidth="1"/>
    <col min="7929" max="8169" width="11.42578125" style="1"/>
    <col min="8170" max="8170" width="9.28515625" style="1" customWidth="1"/>
    <col min="8171" max="8171" width="40.85546875" style="1" customWidth="1"/>
    <col min="8172" max="8172" width="10.28515625" style="1" customWidth="1"/>
    <col min="8173" max="8173" width="9" style="1" customWidth="1"/>
    <col min="8174" max="8174" width="10" style="1" customWidth="1"/>
    <col min="8175" max="8175" width="13.7109375" style="1" customWidth="1"/>
    <col min="8176" max="8176" width="0" style="1" hidden="1" customWidth="1"/>
    <col min="8177" max="8177" width="18.28515625" style="1" bestFit="1" customWidth="1"/>
    <col min="8178" max="8178" width="26.42578125" style="1" customWidth="1"/>
    <col min="8179" max="8179" width="22" style="1" customWidth="1"/>
    <col min="8180" max="8180" width="19.28515625" style="1" bestFit="1" customWidth="1"/>
    <col min="8181" max="8181" width="19.28515625" style="1" customWidth="1"/>
    <col min="8182" max="8182" width="15.7109375" style="1" customWidth="1"/>
    <col min="8183" max="8183" width="0" style="1" hidden="1" customWidth="1"/>
    <col min="8184" max="8184" width="21.42578125" style="1" customWidth="1"/>
    <col min="8185" max="8425" width="11.42578125" style="1"/>
    <col min="8426" max="8426" width="9.28515625" style="1" customWidth="1"/>
    <col min="8427" max="8427" width="40.85546875" style="1" customWidth="1"/>
    <col min="8428" max="8428" width="10.28515625" style="1" customWidth="1"/>
    <col min="8429" max="8429" width="9" style="1" customWidth="1"/>
    <col min="8430" max="8430" width="10" style="1" customWidth="1"/>
    <col min="8431" max="8431" width="13.7109375" style="1" customWidth="1"/>
    <col min="8432" max="8432" width="0" style="1" hidden="1" customWidth="1"/>
    <col min="8433" max="8433" width="18.28515625" style="1" bestFit="1" customWidth="1"/>
    <col min="8434" max="8434" width="26.42578125" style="1" customWidth="1"/>
    <col min="8435" max="8435" width="22" style="1" customWidth="1"/>
    <col min="8436" max="8436" width="19.28515625" style="1" bestFit="1" customWidth="1"/>
    <col min="8437" max="8437" width="19.28515625" style="1" customWidth="1"/>
    <col min="8438" max="8438" width="15.7109375" style="1" customWidth="1"/>
    <col min="8439" max="8439" width="0" style="1" hidden="1" customWidth="1"/>
    <col min="8440" max="8440" width="21.42578125" style="1" customWidth="1"/>
    <col min="8441" max="8681" width="11.42578125" style="1"/>
    <col min="8682" max="8682" width="9.28515625" style="1" customWidth="1"/>
    <col min="8683" max="8683" width="40.85546875" style="1" customWidth="1"/>
    <col min="8684" max="8684" width="10.28515625" style="1" customWidth="1"/>
    <col min="8685" max="8685" width="9" style="1" customWidth="1"/>
    <col min="8686" max="8686" width="10" style="1" customWidth="1"/>
    <col min="8687" max="8687" width="13.7109375" style="1" customWidth="1"/>
    <col min="8688" max="8688" width="0" style="1" hidden="1" customWidth="1"/>
    <col min="8689" max="8689" width="18.28515625" style="1" bestFit="1" customWidth="1"/>
    <col min="8690" max="8690" width="26.42578125" style="1" customWidth="1"/>
    <col min="8691" max="8691" width="22" style="1" customWidth="1"/>
    <col min="8692" max="8692" width="19.28515625" style="1" bestFit="1" customWidth="1"/>
    <col min="8693" max="8693" width="19.28515625" style="1" customWidth="1"/>
    <col min="8694" max="8694" width="15.7109375" style="1" customWidth="1"/>
    <col min="8695" max="8695" width="0" style="1" hidden="1" customWidth="1"/>
    <col min="8696" max="8696" width="21.42578125" style="1" customWidth="1"/>
    <col min="8697" max="8937" width="11.42578125" style="1"/>
    <col min="8938" max="8938" width="9.28515625" style="1" customWidth="1"/>
    <col min="8939" max="8939" width="40.85546875" style="1" customWidth="1"/>
    <col min="8940" max="8940" width="10.28515625" style="1" customWidth="1"/>
    <col min="8941" max="8941" width="9" style="1" customWidth="1"/>
    <col min="8942" max="8942" width="10" style="1" customWidth="1"/>
    <col min="8943" max="8943" width="13.7109375" style="1" customWidth="1"/>
    <col min="8944" max="8944" width="0" style="1" hidden="1" customWidth="1"/>
    <col min="8945" max="8945" width="18.28515625" style="1" bestFit="1" customWidth="1"/>
    <col min="8946" max="8946" width="26.42578125" style="1" customWidth="1"/>
    <col min="8947" max="8947" width="22" style="1" customWidth="1"/>
    <col min="8948" max="8948" width="19.28515625" style="1" bestFit="1" customWidth="1"/>
    <col min="8949" max="8949" width="19.28515625" style="1" customWidth="1"/>
    <col min="8950" max="8950" width="15.7109375" style="1" customWidth="1"/>
    <col min="8951" max="8951" width="0" style="1" hidden="1" customWidth="1"/>
    <col min="8952" max="8952" width="21.42578125" style="1" customWidth="1"/>
    <col min="8953" max="9193" width="11.42578125" style="1"/>
    <col min="9194" max="9194" width="9.28515625" style="1" customWidth="1"/>
    <col min="9195" max="9195" width="40.85546875" style="1" customWidth="1"/>
    <col min="9196" max="9196" width="10.28515625" style="1" customWidth="1"/>
    <col min="9197" max="9197" width="9" style="1" customWidth="1"/>
    <col min="9198" max="9198" width="10" style="1" customWidth="1"/>
    <col min="9199" max="9199" width="13.7109375" style="1" customWidth="1"/>
    <col min="9200" max="9200" width="0" style="1" hidden="1" customWidth="1"/>
    <col min="9201" max="9201" width="18.28515625" style="1" bestFit="1" customWidth="1"/>
    <col min="9202" max="9202" width="26.42578125" style="1" customWidth="1"/>
    <col min="9203" max="9203" width="22" style="1" customWidth="1"/>
    <col min="9204" max="9204" width="19.28515625" style="1" bestFit="1" customWidth="1"/>
    <col min="9205" max="9205" width="19.28515625" style="1" customWidth="1"/>
    <col min="9206" max="9206" width="15.7109375" style="1" customWidth="1"/>
    <col min="9207" max="9207" width="0" style="1" hidden="1" customWidth="1"/>
    <col min="9208" max="9208" width="21.42578125" style="1" customWidth="1"/>
    <col min="9209" max="9449" width="11.42578125" style="1"/>
    <col min="9450" max="9450" width="9.28515625" style="1" customWidth="1"/>
    <col min="9451" max="9451" width="40.85546875" style="1" customWidth="1"/>
    <col min="9452" max="9452" width="10.28515625" style="1" customWidth="1"/>
    <col min="9453" max="9453" width="9" style="1" customWidth="1"/>
    <col min="9454" max="9454" width="10" style="1" customWidth="1"/>
    <col min="9455" max="9455" width="13.7109375" style="1" customWidth="1"/>
    <col min="9456" max="9456" width="0" style="1" hidden="1" customWidth="1"/>
    <col min="9457" max="9457" width="18.28515625" style="1" bestFit="1" customWidth="1"/>
    <col min="9458" max="9458" width="26.42578125" style="1" customWidth="1"/>
    <col min="9459" max="9459" width="22" style="1" customWidth="1"/>
    <col min="9460" max="9460" width="19.28515625" style="1" bestFit="1" customWidth="1"/>
    <col min="9461" max="9461" width="19.28515625" style="1" customWidth="1"/>
    <col min="9462" max="9462" width="15.7109375" style="1" customWidth="1"/>
    <col min="9463" max="9463" width="0" style="1" hidden="1" customWidth="1"/>
    <col min="9464" max="9464" width="21.42578125" style="1" customWidth="1"/>
    <col min="9465" max="9705" width="11.42578125" style="1"/>
    <col min="9706" max="9706" width="9.28515625" style="1" customWidth="1"/>
    <col min="9707" max="9707" width="40.85546875" style="1" customWidth="1"/>
    <col min="9708" max="9708" width="10.28515625" style="1" customWidth="1"/>
    <col min="9709" max="9709" width="9" style="1" customWidth="1"/>
    <col min="9710" max="9710" width="10" style="1" customWidth="1"/>
    <col min="9711" max="9711" width="13.7109375" style="1" customWidth="1"/>
    <col min="9712" max="9712" width="0" style="1" hidden="1" customWidth="1"/>
    <col min="9713" max="9713" width="18.28515625" style="1" bestFit="1" customWidth="1"/>
    <col min="9714" max="9714" width="26.42578125" style="1" customWidth="1"/>
    <col min="9715" max="9715" width="22" style="1" customWidth="1"/>
    <col min="9716" max="9716" width="19.28515625" style="1" bestFit="1" customWidth="1"/>
    <col min="9717" max="9717" width="19.28515625" style="1" customWidth="1"/>
    <col min="9718" max="9718" width="15.7109375" style="1" customWidth="1"/>
    <col min="9719" max="9719" width="0" style="1" hidden="1" customWidth="1"/>
    <col min="9720" max="9720" width="21.42578125" style="1" customWidth="1"/>
    <col min="9721" max="9961" width="11.42578125" style="1"/>
    <col min="9962" max="9962" width="9.28515625" style="1" customWidth="1"/>
    <col min="9963" max="9963" width="40.85546875" style="1" customWidth="1"/>
    <col min="9964" max="9964" width="10.28515625" style="1" customWidth="1"/>
    <col min="9965" max="9965" width="9" style="1" customWidth="1"/>
    <col min="9966" max="9966" width="10" style="1" customWidth="1"/>
    <col min="9967" max="9967" width="13.7109375" style="1" customWidth="1"/>
    <col min="9968" max="9968" width="0" style="1" hidden="1" customWidth="1"/>
    <col min="9969" max="9969" width="18.28515625" style="1" bestFit="1" customWidth="1"/>
    <col min="9970" max="9970" width="26.42578125" style="1" customWidth="1"/>
    <col min="9971" max="9971" width="22" style="1" customWidth="1"/>
    <col min="9972" max="9972" width="19.28515625" style="1" bestFit="1" customWidth="1"/>
    <col min="9973" max="9973" width="19.28515625" style="1" customWidth="1"/>
    <col min="9974" max="9974" width="15.7109375" style="1" customWidth="1"/>
    <col min="9975" max="9975" width="0" style="1" hidden="1" customWidth="1"/>
    <col min="9976" max="9976" width="21.42578125" style="1" customWidth="1"/>
    <col min="9977" max="10217" width="11.42578125" style="1"/>
    <col min="10218" max="10218" width="9.28515625" style="1" customWidth="1"/>
    <col min="10219" max="10219" width="40.85546875" style="1" customWidth="1"/>
    <col min="10220" max="10220" width="10.28515625" style="1" customWidth="1"/>
    <col min="10221" max="10221" width="9" style="1" customWidth="1"/>
    <col min="10222" max="10222" width="10" style="1" customWidth="1"/>
    <col min="10223" max="10223" width="13.7109375" style="1" customWidth="1"/>
    <col min="10224" max="10224" width="0" style="1" hidden="1" customWidth="1"/>
    <col min="10225" max="10225" width="18.28515625" style="1" bestFit="1" customWidth="1"/>
    <col min="10226" max="10226" width="26.42578125" style="1" customWidth="1"/>
    <col min="10227" max="10227" width="22" style="1" customWidth="1"/>
    <col min="10228" max="10228" width="19.28515625" style="1" bestFit="1" customWidth="1"/>
    <col min="10229" max="10229" width="19.28515625" style="1" customWidth="1"/>
    <col min="10230" max="10230" width="15.7109375" style="1" customWidth="1"/>
    <col min="10231" max="10231" width="0" style="1" hidden="1" customWidth="1"/>
    <col min="10232" max="10232" width="21.42578125" style="1" customWidth="1"/>
    <col min="10233" max="10473" width="11.42578125" style="1"/>
    <col min="10474" max="10474" width="9.28515625" style="1" customWidth="1"/>
    <col min="10475" max="10475" width="40.85546875" style="1" customWidth="1"/>
    <col min="10476" max="10476" width="10.28515625" style="1" customWidth="1"/>
    <col min="10477" max="10477" width="9" style="1" customWidth="1"/>
    <col min="10478" max="10478" width="10" style="1" customWidth="1"/>
    <col min="10479" max="10479" width="13.7109375" style="1" customWidth="1"/>
    <col min="10480" max="10480" width="0" style="1" hidden="1" customWidth="1"/>
    <col min="10481" max="10481" width="18.28515625" style="1" bestFit="1" customWidth="1"/>
    <col min="10482" max="10482" width="26.42578125" style="1" customWidth="1"/>
    <col min="10483" max="10483" width="22" style="1" customWidth="1"/>
    <col min="10484" max="10484" width="19.28515625" style="1" bestFit="1" customWidth="1"/>
    <col min="10485" max="10485" width="19.28515625" style="1" customWidth="1"/>
    <col min="10486" max="10486" width="15.7109375" style="1" customWidth="1"/>
    <col min="10487" max="10487" width="0" style="1" hidden="1" customWidth="1"/>
    <col min="10488" max="10488" width="21.42578125" style="1" customWidth="1"/>
    <col min="10489" max="10729" width="11.42578125" style="1"/>
    <col min="10730" max="10730" width="9.28515625" style="1" customWidth="1"/>
    <col min="10731" max="10731" width="40.85546875" style="1" customWidth="1"/>
    <col min="10732" max="10732" width="10.28515625" style="1" customWidth="1"/>
    <col min="10733" max="10733" width="9" style="1" customWidth="1"/>
    <col min="10734" max="10734" width="10" style="1" customWidth="1"/>
    <col min="10735" max="10735" width="13.7109375" style="1" customWidth="1"/>
    <col min="10736" max="10736" width="0" style="1" hidden="1" customWidth="1"/>
    <col min="10737" max="10737" width="18.28515625" style="1" bestFit="1" customWidth="1"/>
    <col min="10738" max="10738" width="26.42578125" style="1" customWidth="1"/>
    <col min="10739" max="10739" width="22" style="1" customWidth="1"/>
    <col min="10740" max="10740" width="19.28515625" style="1" bestFit="1" customWidth="1"/>
    <col min="10741" max="10741" width="19.28515625" style="1" customWidth="1"/>
    <col min="10742" max="10742" width="15.7109375" style="1" customWidth="1"/>
    <col min="10743" max="10743" width="0" style="1" hidden="1" customWidth="1"/>
    <col min="10744" max="10744" width="21.42578125" style="1" customWidth="1"/>
    <col min="10745" max="10985" width="11.42578125" style="1"/>
    <col min="10986" max="10986" width="9.28515625" style="1" customWidth="1"/>
    <col min="10987" max="10987" width="40.85546875" style="1" customWidth="1"/>
    <col min="10988" max="10988" width="10.28515625" style="1" customWidth="1"/>
    <col min="10989" max="10989" width="9" style="1" customWidth="1"/>
    <col min="10990" max="10990" width="10" style="1" customWidth="1"/>
    <col min="10991" max="10991" width="13.7109375" style="1" customWidth="1"/>
    <col min="10992" max="10992" width="0" style="1" hidden="1" customWidth="1"/>
    <col min="10993" max="10993" width="18.28515625" style="1" bestFit="1" customWidth="1"/>
    <col min="10994" max="10994" width="26.42578125" style="1" customWidth="1"/>
    <col min="10995" max="10995" width="22" style="1" customWidth="1"/>
    <col min="10996" max="10996" width="19.28515625" style="1" bestFit="1" customWidth="1"/>
    <col min="10997" max="10997" width="19.28515625" style="1" customWidth="1"/>
    <col min="10998" max="10998" width="15.7109375" style="1" customWidth="1"/>
    <col min="10999" max="10999" width="0" style="1" hidden="1" customWidth="1"/>
    <col min="11000" max="11000" width="21.42578125" style="1" customWidth="1"/>
    <col min="11001" max="11241" width="11.42578125" style="1"/>
    <col min="11242" max="11242" width="9.28515625" style="1" customWidth="1"/>
    <col min="11243" max="11243" width="40.85546875" style="1" customWidth="1"/>
    <col min="11244" max="11244" width="10.28515625" style="1" customWidth="1"/>
    <col min="11245" max="11245" width="9" style="1" customWidth="1"/>
    <col min="11246" max="11246" width="10" style="1" customWidth="1"/>
    <col min="11247" max="11247" width="13.7109375" style="1" customWidth="1"/>
    <col min="11248" max="11248" width="0" style="1" hidden="1" customWidth="1"/>
    <col min="11249" max="11249" width="18.28515625" style="1" bestFit="1" customWidth="1"/>
    <col min="11250" max="11250" width="26.42578125" style="1" customWidth="1"/>
    <col min="11251" max="11251" width="22" style="1" customWidth="1"/>
    <col min="11252" max="11252" width="19.28515625" style="1" bestFit="1" customWidth="1"/>
    <col min="11253" max="11253" width="19.28515625" style="1" customWidth="1"/>
    <col min="11254" max="11254" width="15.7109375" style="1" customWidth="1"/>
    <col min="11255" max="11255" width="0" style="1" hidden="1" customWidth="1"/>
    <col min="11256" max="11256" width="21.42578125" style="1" customWidth="1"/>
    <col min="11257" max="11497" width="11.42578125" style="1"/>
    <col min="11498" max="11498" width="9.28515625" style="1" customWidth="1"/>
    <col min="11499" max="11499" width="40.85546875" style="1" customWidth="1"/>
    <col min="11500" max="11500" width="10.28515625" style="1" customWidth="1"/>
    <col min="11501" max="11501" width="9" style="1" customWidth="1"/>
    <col min="11502" max="11502" width="10" style="1" customWidth="1"/>
    <col min="11503" max="11503" width="13.7109375" style="1" customWidth="1"/>
    <col min="11504" max="11504" width="0" style="1" hidden="1" customWidth="1"/>
    <col min="11505" max="11505" width="18.28515625" style="1" bestFit="1" customWidth="1"/>
    <col min="11506" max="11506" width="26.42578125" style="1" customWidth="1"/>
    <col min="11507" max="11507" width="22" style="1" customWidth="1"/>
    <col min="11508" max="11508" width="19.28515625" style="1" bestFit="1" customWidth="1"/>
    <col min="11509" max="11509" width="19.28515625" style="1" customWidth="1"/>
    <col min="11510" max="11510" width="15.7109375" style="1" customWidth="1"/>
    <col min="11511" max="11511" width="0" style="1" hidden="1" customWidth="1"/>
    <col min="11512" max="11512" width="21.42578125" style="1" customWidth="1"/>
    <col min="11513" max="11753" width="11.42578125" style="1"/>
    <col min="11754" max="11754" width="9.28515625" style="1" customWidth="1"/>
    <col min="11755" max="11755" width="40.85546875" style="1" customWidth="1"/>
    <col min="11756" max="11756" width="10.28515625" style="1" customWidth="1"/>
    <col min="11757" max="11757" width="9" style="1" customWidth="1"/>
    <col min="11758" max="11758" width="10" style="1" customWidth="1"/>
    <col min="11759" max="11759" width="13.7109375" style="1" customWidth="1"/>
    <col min="11760" max="11760" width="0" style="1" hidden="1" customWidth="1"/>
    <col min="11761" max="11761" width="18.28515625" style="1" bestFit="1" customWidth="1"/>
    <col min="11762" max="11762" width="26.42578125" style="1" customWidth="1"/>
    <col min="11763" max="11763" width="22" style="1" customWidth="1"/>
    <col min="11764" max="11764" width="19.28515625" style="1" bestFit="1" customWidth="1"/>
    <col min="11765" max="11765" width="19.28515625" style="1" customWidth="1"/>
    <col min="11766" max="11766" width="15.7109375" style="1" customWidth="1"/>
    <col min="11767" max="11767" width="0" style="1" hidden="1" customWidth="1"/>
    <col min="11768" max="11768" width="21.42578125" style="1" customWidth="1"/>
    <col min="11769" max="12009" width="11.42578125" style="1"/>
    <col min="12010" max="12010" width="9.28515625" style="1" customWidth="1"/>
    <col min="12011" max="12011" width="40.85546875" style="1" customWidth="1"/>
    <col min="12012" max="12012" width="10.28515625" style="1" customWidth="1"/>
    <col min="12013" max="12013" width="9" style="1" customWidth="1"/>
    <col min="12014" max="12014" width="10" style="1" customWidth="1"/>
    <col min="12015" max="12015" width="13.7109375" style="1" customWidth="1"/>
    <col min="12016" max="12016" width="0" style="1" hidden="1" customWidth="1"/>
    <col min="12017" max="12017" width="18.28515625" style="1" bestFit="1" customWidth="1"/>
    <col min="12018" max="12018" width="26.42578125" style="1" customWidth="1"/>
    <col min="12019" max="12019" width="22" style="1" customWidth="1"/>
    <col min="12020" max="12020" width="19.28515625" style="1" bestFit="1" customWidth="1"/>
    <col min="12021" max="12021" width="19.28515625" style="1" customWidth="1"/>
    <col min="12022" max="12022" width="15.7109375" style="1" customWidth="1"/>
    <col min="12023" max="12023" width="0" style="1" hidden="1" customWidth="1"/>
    <col min="12024" max="12024" width="21.42578125" style="1" customWidth="1"/>
    <col min="12025" max="12265" width="11.42578125" style="1"/>
    <col min="12266" max="12266" width="9.28515625" style="1" customWidth="1"/>
    <col min="12267" max="12267" width="40.85546875" style="1" customWidth="1"/>
    <col min="12268" max="12268" width="10.28515625" style="1" customWidth="1"/>
    <col min="12269" max="12269" width="9" style="1" customWidth="1"/>
    <col min="12270" max="12270" width="10" style="1" customWidth="1"/>
    <col min="12271" max="12271" width="13.7109375" style="1" customWidth="1"/>
    <col min="12272" max="12272" width="0" style="1" hidden="1" customWidth="1"/>
    <col min="12273" max="12273" width="18.28515625" style="1" bestFit="1" customWidth="1"/>
    <col min="12274" max="12274" width="26.42578125" style="1" customWidth="1"/>
    <col min="12275" max="12275" width="22" style="1" customWidth="1"/>
    <col min="12276" max="12276" width="19.28515625" style="1" bestFit="1" customWidth="1"/>
    <col min="12277" max="12277" width="19.28515625" style="1" customWidth="1"/>
    <col min="12278" max="12278" width="15.7109375" style="1" customWidth="1"/>
    <col min="12279" max="12279" width="0" style="1" hidden="1" customWidth="1"/>
    <col min="12280" max="12280" width="21.42578125" style="1" customWidth="1"/>
    <col min="12281" max="12521" width="11.42578125" style="1"/>
    <col min="12522" max="12522" width="9.28515625" style="1" customWidth="1"/>
    <col min="12523" max="12523" width="40.85546875" style="1" customWidth="1"/>
    <col min="12524" max="12524" width="10.28515625" style="1" customWidth="1"/>
    <col min="12525" max="12525" width="9" style="1" customWidth="1"/>
    <col min="12526" max="12526" width="10" style="1" customWidth="1"/>
    <col min="12527" max="12527" width="13.7109375" style="1" customWidth="1"/>
    <col min="12528" max="12528" width="0" style="1" hidden="1" customWidth="1"/>
    <col min="12529" max="12529" width="18.28515625" style="1" bestFit="1" customWidth="1"/>
    <col min="12530" max="12530" width="26.42578125" style="1" customWidth="1"/>
    <col min="12531" max="12531" width="22" style="1" customWidth="1"/>
    <col min="12532" max="12532" width="19.28515625" style="1" bestFit="1" customWidth="1"/>
    <col min="12533" max="12533" width="19.28515625" style="1" customWidth="1"/>
    <col min="12534" max="12534" width="15.7109375" style="1" customWidth="1"/>
    <col min="12535" max="12535" width="0" style="1" hidden="1" customWidth="1"/>
    <col min="12536" max="12536" width="21.42578125" style="1" customWidth="1"/>
    <col min="12537" max="12777" width="11.42578125" style="1"/>
    <col min="12778" max="12778" width="9.28515625" style="1" customWidth="1"/>
    <col min="12779" max="12779" width="40.85546875" style="1" customWidth="1"/>
    <col min="12780" max="12780" width="10.28515625" style="1" customWidth="1"/>
    <col min="12781" max="12781" width="9" style="1" customWidth="1"/>
    <col min="12782" max="12782" width="10" style="1" customWidth="1"/>
    <col min="12783" max="12783" width="13.7109375" style="1" customWidth="1"/>
    <col min="12784" max="12784" width="0" style="1" hidden="1" customWidth="1"/>
    <col min="12785" max="12785" width="18.28515625" style="1" bestFit="1" customWidth="1"/>
    <col min="12786" max="12786" width="26.42578125" style="1" customWidth="1"/>
    <col min="12787" max="12787" width="22" style="1" customWidth="1"/>
    <col min="12788" max="12788" width="19.28515625" style="1" bestFit="1" customWidth="1"/>
    <col min="12789" max="12789" width="19.28515625" style="1" customWidth="1"/>
    <col min="12790" max="12790" width="15.7109375" style="1" customWidth="1"/>
    <col min="12791" max="12791" width="0" style="1" hidden="1" customWidth="1"/>
    <col min="12792" max="12792" width="21.42578125" style="1" customWidth="1"/>
    <col min="12793" max="13033" width="11.42578125" style="1"/>
    <col min="13034" max="13034" width="9.28515625" style="1" customWidth="1"/>
    <col min="13035" max="13035" width="40.85546875" style="1" customWidth="1"/>
    <col min="13036" max="13036" width="10.28515625" style="1" customWidth="1"/>
    <col min="13037" max="13037" width="9" style="1" customWidth="1"/>
    <col min="13038" max="13038" width="10" style="1" customWidth="1"/>
    <col min="13039" max="13039" width="13.7109375" style="1" customWidth="1"/>
    <col min="13040" max="13040" width="0" style="1" hidden="1" customWidth="1"/>
    <col min="13041" max="13041" width="18.28515625" style="1" bestFit="1" customWidth="1"/>
    <col min="13042" max="13042" width="26.42578125" style="1" customWidth="1"/>
    <col min="13043" max="13043" width="22" style="1" customWidth="1"/>
    <col min="13044" max="13044" width="19.28515625" style="1" bestFit="1" customWidth="1"/>
    <col min="13045" max="13045" width="19.28515625" style="1" customWidth="1"/>
    <col min="13046" max="13046" width="15.7109375" style="1" customWidth="1"/>
    <col min="13047" max="13047" width="0" style="1" hidden="1" customWidth="1"/>
    <col min="13048" max="13048" width="21.42578125" style="1" customWidth="1"/>
    <col min="13049" max="13289" width="11.42578125" style="1"/>
    <col min="13290" max="13290" width="9.28515625" style="1" customWidth="1"/>
    <col min="13291" max="13291" width="40.85546875" style="1" customWidth="1"/>
    <col min="13292" max="13292" width="10.28515625" style="1" customWidth="1"/>
    <col min="13293" max="13293" width="9" style="1" customWidth="1"/>
    <col min="13294" max="13294" width="10" style="1" customWidth="1"/>
    <col min="13295" max="13295" width="13.7109375" style="1" customWidth="1"/>
    <col min="13296" max="13296" width="0" style="1" hidden="1" customWidth="1"/>
    <col min="13297" max="13297" width="18.28515625" style="1" bestFit="1" customWidth="1"/>
    <col min="13298" max="13298" width="26.42578125" style="1" customWidth="1"/>
    <col min="13299" max="13299" width="22" style="1" customWidth="1"/>
    <col min="13300" max="13300" width="19.28515625" style="1" bestFit="1" customWidth="1"/>
    <col min="13301" max="13301" width="19.28515625" style="1" customWidth="1"/>
    <col min="13302" max="13302" width="15.7109375" style="1" customWidth="1"/>
    <col min="13303" max="13303" width="0" style="1" hidden="1" customWidth="1"/>
    <col min="13304" max="13304" width="21.42578125" style="1" customWidth="1"/>
    <col min="13305" max="13545" width="11.42578125" style="1"/>
    <col min="13546" max="13546" width="9.28515625" style="1" customWidth="1"/>
    <col min="13547" max="13547" width="40.85546875" style="1" customWidth="1"/>
    <col min="13548" max="13548" width="10.28515625" style="1" customWidth="1"/>
    <col min="13549" max="13549" width="9" style="1" customWidth="1"/>
    <col min="13550" max="13550" width="10" style="1" customWidth="1"/>
    <col min="13551" max="13551" width="13.7109375" style="1" customWidth="1"/>
    <col min="13552" max="13552" width="0" style="1" hidden="1" customWidth="1"/>
    <col min="13553" max="13553" width="18.28515625" style="1" bestFit="1" customWidth="1"/>
    <col min="13554" max="13554" width="26.42578125" style="1" customWidth="1"/>
    <col min="13555" max="13555" width="22" style="1" customWidth="1"/>
    <col min="13556" max="13556" width="19.28515625" style="1" bestFit="1" customWidth="1"/>
    <col min="13557" max="13557" width="19.28515625" style="1" customWidth="1"/>
    <col min="13558" max="13558" width="15.7109375" style="1" customWidth="1"/>
    <col min="13559" max="13559" width="0" style="1" hidden="1" customWidth="1"/>
    <col min="13560" max="13560" width="21.42578125" style="1" customWidth="1"/>
    <col min="13561" max="13801" width="11.42578125" style="1"/>
    <col min="13802" max="13802" width="9.28515625" style="1" customWidth="1"/>
    <col min="13803" max="13803" width="40.85546875" style="1" customWidth="1"/>
    <col min="13804" max="13804" width="10.28515625" style="1" customWidth="1"/>
    <col min="13805" max="13805" width="9" style="1" customWidth="1"/>
    <col min="13806" max="13806" width="10" style="1" customWidth="1"/>
    <col min="13807" max="13807" width="13.7109375" style="1" customWidth="1"/>
    <col min="13808" max="13808" width="0" style="1" hidden="1" customWidth="1"/>
    <col min="13809" max="13809" width="18.28515625" style="1" bestFit="1" customWidth="1"/>
    <col min="13810" max="13810" width="26.42578125" style="1" customWidth="1"/>
    <col min="13811" max="13811" width="22" style="1" customWidth="1"/>
    <col min="13812" max="13812" width="19.28515625" style="1" bestFit="1" customWidth="1"/>
    <col min="13813" max="13813" width="19.28515625" style="1" customWidth="1"/>
    <col min="13814" max="13814" width="15.7109375" style="1" customWidth="1"/>
    <col min="13815" max="13815" width="0" style="1" hidden="1" customWidth="1"/>
    <col min="13816" max="13816" width="21.42578125" style="1" customWidth="1"/>
    <col min="13817" max="14057" width="11.42578125" style="1"/>
    <col min="14058" max="14058" width="9.28515625" style="1" customWidth="1"/>
    <col min="14059" max="14059" width="40.85546875" style="1" customWidth="1"/>
    <col min="14060" max="14060" width="10.28515625" style="1" customWidth="1"/>
    <col min="14061" max="14061" width="9" style="1" customWidth="1"/>
    <col min="14062" max="14062" width="10" style="1" customWidth="1"/>
    <col min="14063" max="14063" width="13.7109375" style="1" customWidth="1"/>
    <col min="14064" max="14064" width="0" style="1" hidden="1" customWidth="1"/>
    <col min="14065" max="14065" width="18.28515625" style="1" bestFit="1" customWidth="1"/>
    <col min="14066" max="14066" width="26.42578125" style="1" customWidth="1"/>
    <col min="14067" max="14067" width="22" style="1" customWidth="1"/>
    <col min="14068" max="14068" width="19.28515625" style="1" bestFit="1" customWidth="1"/>
    <col min="14069" max="14069" width="19.28515625" style="1" customWidth="1"/>
    <col min="14070" max="14070" width="15.7109375" style="1" customWidth="1"/>
    <col min="14071" max="14071" width="0" style="1" hidden="1" customWidth="1"/>
    <col min="14072" max="14072" width="21.42578125" style="1" customWidth="1"/>
    <col min="14073" max="14313" width="11.42578125" style="1"/>
    <col min="14314" max="14314" width="9.28515625" style="1" customWidth="1"/>
    <col min="14315" max="14315" width="40.85546875" style="1" customWidth="1"/>
    <col min="14316" max="14316" width="10.28515625" style="1" customWidth="1"/>
    <col min="14317" max="14317" width="9" style="1" customWidth="1"/>
    <col min="14318" max="14318" width="10" style="1" customWidth="1"/>
    <col min="14319" max="14319" width="13.7109375" style="1" customWidth="1"/>
    <col min="14320" max="14320" width="0" style="1" hidden="1" customWidth="1"/>
    <col min="14321" max="14321" width="18.28515625" style="1" bestFit="1" customWidth="1"/>
    <col min="14322" max="14322" width="26.42578125" style="1" customWidth="1"/>
    <col min="14323" max="14323" width="22" style="1" customWidth="1"/>
    <col min="14324" max="14324" width="19.28515625" style="1" bestFit="1" customWidth="1"/>
    <col min="14325" max="14325" width="19.28515625" style="1" customWidth="1"/>
    <col min="14326" max="14326" width="15.7109375" style="1" customWidth="1"/>
    <col min="14327" max="14327" width="0" style="1" hidden="1" customWidth="1"/>
    <col min="14328" max="14328" width="21.42578125" style="1" customWidth="1"/>
    <col min="14329" max="14569" width="11.42578125" style="1"/>
    <col min="14570" max="14570" width="9.28515625" style="1" customWidth="1"/>
    <col min="14571" max="14571" width="40.85546875" style="1" customWidth="1"/>
    <col min="14572" max="14572" width="10.28515625" style="1" customWidth="1"/>
    <col min="14573" max="14573" width="9" style="1" customWidth="1"/>
    <col min="14574" max="14574" width="10" style="1" customWidth="1"/>
    <col min="14575" max="14575" width="13.7109375" style="1" customWidth="1"/>
    <col min="14576" max="14576" width="0" style="1" hidden="1" customWidth="1"/>
    <col min="14577" max="14577" width="18.28515625" style="1" bestFit="1" customWidth="1"/>
    <col min="14578" max="14578" width="26.42578125" style="1" customWidth="1"/>
    <col min="14579" max="14579" width="22" style="1" customWidth="1"/>
    <col min="14580" max="14580" width="19.28515625" style="1" bestFit="1" customWidth="1"/>
    <col min="14581" max="14581" width="19.28515625" style="1" customWidth="1"/>
    <col min="14582" max="14582" width="15.7109375" style="1" customWidth="1"/>
    <col min="14583" max="14583" width="0" style="1" hidden="1" customWidth="1"/>
    <col min="14584" max="14584" width="21.42578125" style="1" customWidth="1"/>
    <col min="14585" max="14825" width="11.42578125" style="1"/>
    <col min="14826" max="14826" width="9.28515625" style="1" customWidth="1"/>
    <col min="14827" max="14827" width="40.85546875" style="1" customWidth="1"/>
    <col min="14828" max="14828" width="10.28515625" style="1" customWidth="1"/>
    <col min="14829" max="14829" width="9" style="1" customWidth="1"/>
    <col min="14830" max="14830" width="10" style="1" customWidth="1"/>
    <col min="14831" max="14831" width="13.7109375" style="1" customWidth="1"/>
    <col min="14832" max="14832" width="0" style="1" hidden="1" customWidth="1"/>
    <col min="14833" max="14833" width="18.28515625" style="1" bestFit="1" customWidth="1"/>
    <col min="14834" max="14834" width="26.42578125" style="1" customWidth="1"/>
    <col min="14835" max="14835" width="22" style="1" customWidth="1"/>
    <col min="14836" max="14836" width="19.28515625" style="1" bestFit="1" customWidth="1"/>
    <col min="14837" max="14837" width="19.28515625" style="1" customWidth="1"/>
    <col min="14838" max="14838" width="15.7109375" style="1" customWidth="1"/>
    <col min="14839" max="14839" width="0" style="1" hidden="1" customWidth="1"/>
    <col min="14840" max="14840" width="21.42578125" style="1" customWidth="1"/>
    <col min="14841" max="15081" width="11.42578125" style="1"/>
    <col min="15082" max="15082" width="9.28515625" style="1" customWidth="1"/>
    <col min="15083" max="15083" width="40.85546875" style="1" customWidth="1"/>
    <col min="15084" max="15084" width="10.28515625" style="1" customWidth="1"/>
    <col min="15085" max="15085" width="9" style="1" customWidth="1"/>
    <col min="15086" max="15086" width="10" style="1" customWidth="1"/>
    <col min="15087" max="15087" width="13.7109375" style="1" customWidth="1"/>
    <col min="15088" max="15088" width="0" style="1" hidden="1" customWidth="1"/>
    <col min="15089" max="15089" width="18.28515625" style="1" bestFit="1" customWidth="1"/>
    <col min="15090" max="15090" width="26.42578125" style="1" customWidth="1"/>
    <col min="15091" max="15091" width="22" style="1" customWidth="1"/>
    <col min="15092" max="15092" width="19.28515625" style="1" bestFit="1" customWidth="1"/>
    <col min="15093" max="15093" width="19.28515625" style="1" customWidth="1"/>
    <col min="15094" max="15094" width="15.7109375" style="1" customWidth="1"/>
    <col min="15095" max="15095" width="0" style="1" hidden="1" customWidth="1"/>
    <col min="15096" max="15096" width="21.42578125" style="1" customWidth="1"/>
    <col min="15097" max="15337" width="11.42578125" style="1"/>
    <col min="15338" max="15338" width="9.28515625" style="1" customWidth="1"/>
    <col min="15339" max="15339" width="40.85546875" style="1" customWidth="1"/>
    <col min="15340" max="15340" width="10.28515625" style="1" customWidth="1"/>
    <col min="15341" max="15341" width="9" style="1" customWidth="1"/>
    <col min="15342" max="15342" width="10" style="1" customWidth="1"/>
    <col min="15343" max="15343" width="13.7109375" style="1" customWidth="1"/>
    <col min="15344" max="15344" width="0" style="1" hidden="1" customWidth="1"/>
    <col min="15345" max="15345" width="18.28515625" style="1" bestFit="1" customWidth="1"/>
    <col min="15346" max="15346" width="26.42578125" style="1" customWidth="1"/>
    <col min="15347" max="15347" width="22" style="1" customWidth="1"/>
    <col min="15348" max="15348" width="19.28515625" style="1" bestFit="1" customWidth="1"/>
    <col min="15349" max="15349" width="19.28515625" style="1" customWidth="1"/>
    <col min="15350" max="15350" width="15.7109375" style="1" customWidth="1"/>
    <col min="15351" max="15351" width="0" style="1" hidden="1" customWidth="1"/>
    <col min="15352" max="15352" width="21.42578125" style="1" customWidth="1"/>
    <col min="15353" max="15593" width="11.42578125" style="1"/>
    <col min="15594" max="15594" width="9.28515625" style="1" customWidth="1"/>
    <col min="15595" max="15595" width="40.85546875" style="1" customWidth="1"/>
    <col min="15596" max="15596" width="10.28515625" style="1" customWidth="1"/>
    <col min="15597" max="15597" width="9" style="1" customWidth="1"/>
    <col min="15598" max="15598" width="10" style="1" customWidth="1"/>
    <col min="15599" max="15599" width="13.7109375" style="1" customWidth="1"/>
    <col min="15600" max="15600" width="0" style="1" hidden="1" customWidth="1"/>
    <col min="15601" max="15601" width="18.28515625" style="1" bestFit="1" customWidth="1"/>
    <col min="15602" max="15602" width="26.42578125" style="1" customWidth="1"/>
    <col min="15603" max="15603" width="22" style="1" customWidth="1"/>
    <col min="15604" max="15604" width="19.28515625" style="1" bestFit="1" customWidth="1"/>
    <col min="15605" max="15605" width="19.28515625" style="1" customWidth="1"/>
    <col min="15606" max="15606" width="15.7109375" style="1" customWidth="1"/>
    <col min="15607" max="15607" width="0" style="1" hidden="1" customWidth="1"/>
    <col min="15608" max="15608" width="21.42578125" style="1" customWidth="1"/>
    <col min="15609" max="15849" width="11.42578125" style="1"/>
    <col min="15850" max="15850" width="9.28515625" style="1" customWidth="1"/>
    <col min="15851" max="15851" width="40.85546875" style="1" customWidth="1"/>
    <col min="15852" max="15852" width="10.28515625" style="1" customWidth="1"/>
    <col min="15853" max="15853" width="9" style="1" customWidth="1"/>
    <col min="15854" max="15854" width="10" style="1" customWidth="1"/>
    <col min="15855" max="15855" width="13.7109375" style="1" customWidth="1"/>
    <col min="15856" max="15856" width="0" style="1" hidden="1" customWidth="1"/>
    <col min="15857" max="15857" width="18.28515625" style="1" bestFit="1" customWidth="1"/>
    <col min="15858" max="15858" width="26.42578125" style="1" customWidth="1"/>
    <col min="15859" max="15859" width="22" style="1" customWidth="1"/>
    <col min="15860" max="15860" width="19.28515625" style="1" bestFit="1" customWidth="1"/>
    <col min="15861" max="15861" width="19.28515625" style="1" customWidth="1"/>
    <col min="15862" max="15862" width="15.7109375" style="1" customWidth="1"/>
    <col min="15863" max="15863" width="0" style="1" hidden="1" customWidth="1"/>
    <col min="15864" max="15864" width="21.42578125" style="1" customWidth="1"/>
    <col min="15865" max="16105" width="11.42578125" style="1"/>
    <col min="16106" max="16106" width="9.28515625" style="1" customWidth="1"/>
    <col min="16107" max="16107" width="40.85546875" style="1" customWidth="1"/>
    <col min="16108" max="16108" width="10.28515625" style="1" customWidth="1"/>
    <col min="16109" max="16109" width="9" style="1" customWidth="1"/>
    <col min="16110" max="16110" width="10" style="1" customWidth="1"/>
    <col min="16111" max="16111" width="13.7109375" style="1" customWidth="1"/>
    <col min="16112" max="16112" width="0" style="1" hidden="1" customWidth="1"/>
    <col min="16113" max="16113" width="18.28515625" style="1" bestFit="1" customWidth="1"/>
    <col min="16114" max="16114" width="26.42578125" style="1" customWidth="1"/>
    <col min="16115" max="16115" width="22" style="1" customWidth="1"/>
    <col min="16116" max="16116" width="19.28515625" style="1" bestFit="1" customWidth="1"/>
    <col min="16117" max="16117" width="19.28515625" style="1" customWidth="1"/>
    <col min="16118" max="16118" width="15.7109375" style="1" customWidth="1"/>
    <col min="16119" max="16119" width="0" style="1" hidden="1" customWidth="1"/>
    <col min="16120" max="16120" width="21.42578125" style="1" customWidth="1"/>
    <col min="16121" max="16384" width="11.42578125" style="1"/>
  </cols>
  <sheetData>
    <row r="2" spans="1:25" x14ac:dyDescent="0.25">
      <c r="B2" s="1" t="s">
        <v>474</v>
      </c>
    </row>
    <row r="4" spans="1:25" ht="15" customHeight="1" x14ac:dyDescent="0.25">
      <c r="C4" s="4"/>
      <c r="O4" s="2" t="s">
        <v>0</v>
      </c>
    </row>
    <row r="5" spans="1:25" s="3" customFormat="1" x14ac:dyDescent="0.25">
      <c r="C5" s="5"/>
      <c r="D5" s="6"/>
      <c r="E5" s="6"/>
      <c r="F5" s="6"/>
      <c r="G5" s="6"/>
      <c r="H5" s="7"/>
      <c r="I5" s="6" t="s">
        <v>1</v>
      </c>
      <c r="J5" s="6"/>
      <c r="K5" s="6"/>
      <c r="L5" s="6"/>
      <c r="M5" s="6"/>
      <c r="O5" s="8"/>
      <c r="P5" s="14"/>
    </row>
    <row r="6" spans="1:25" ht="24" thickBot="1" x14ac:dyDescent="0.3">
      <c r="N6" s="9">
        <v>43642</v>
      </c>
      <c r="O6" s="10" t="s">
        <v>2</v>
      </c>
      <c r="P6" s="555"/>
    </row>
    <row r="7" spans="1:25" ht="27" thickBot="1" x14ac:dyDescent="0.45">
      <c r="B7" s="295" t="s">
        <v>266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12"/>
    </row>
    <row r="8" spans="1:25" ht="19.5" thickBot="1" x14ac:dyDescent="0.35">
      <c r="B8" s="297" t="s">
        <v>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13"/>
      <c r="O8" s="14"/>
      <c r="P8" s="14"/>
      <c r="Q8" s="334" t="s">
        <v>289</v>
      </c>
      <c r="R8" s="335"/>
      <c r="S8" s="335"/>
      <c r="T8" s="336"/>
      <c r="U8" s="337" t="s">
        <v>290</v>
      </c>
      <c r="V8" s="338"/>
      <c r="W8" s="338"/>
      <c r="X8" s="339"/>
      <c r="Y8" s="2"/>
    </row>
    <row r="9" spans="1:25" ht="57.75" thickBot="1" x14ac:dyDescent="0.3">
      <c r="B9" s="15" t="s">
        <v>4</v>
      </c>
      <c r="C9" s="16" t="s">
        <v>5</v>
      </c>
      <c r="D9" s="17" t="s">
        <v>6</v>
      </c>
      <c r="E9" s="17" t="s">
        <v>7</v>
      </c>
      <c r="F9" s="17" t="s">
        <v>8</v>
      </c>
      <c r="G9" s="17" t="s">
        <v>9</v>
      </c>
      <c r="H9" s="17" t="s">
        <v>10</v>
      </c>
      <c r="I9" s="17" t="s">
        <v>1</v>
      </c>
      <c r="J9" s="17" t="s">
        <v>11</v>
      </c>
      <c r="K9" s="17" t="s">
        <v>12</v>
      </c>
      <c r="L9" s="17" t="s">
        <v>13</v>
      </c>
      <c r="M9" s="17" t="s">
        <v>14</v>
      </c>
      <c r="N9" s="18" t="s">
        <v>15</v>
      </c>
      <c r="O9" s="14"/>
      <c r="P9" s="14"/>
      <c r="Q9" s="340" t="s">
        <v>291</v>
      </c>
      <c r="R9" s="341" t="s">
        <v>292</v>
      </c>
      <c r="S9" s="342" t="s">
        <v>293</v>
      </c>
      <c r="T9" s="341" t="s">
        <v>294</v>
      </c>
      <c r="U9" s="340" t="s">
        <v>291</v>
      </c>
      <c r="V9" s="341" t="s">
        <v>292</v>
      </c>
      <c r="W9" s="342" t="s">
        <v>293</v>
      </c>
      <c r="X9" s="341" t="s">
        <v>294</v>
      </c>
      <c r="Y9" s="2"/>
    </row>
    <row r="10" spans="1:25" ht="57" customHeight="1" x14ac:dyDescent="0.25">
      <c r="A10" s="124" t="s">
        <v>273</v>
      </c>
      <c r="B10" s="299" t="s">
        <v>16</v>
      </c>
      <c r="C10" s="206">
        <v>80111501</v>
      </c>
      <c r="D10" s="207" t="s">
        <v>277</v>
      </c>
      <c r="E10" s="208" t="s">
        <v>17</v>
      </c>
      <c r="F10" s="209">
        <v>9</v>
      </c>
      <c r="G10" s="210" t="s">
        <v>18</v>
      </c>
      <c r="H10" s="208" t="s">
        <v>19</v>
      </c>
      <c r="I10" s="211">
        <v>42350000</v>
      </c>
      <c r="J10" s="19">
        <v>4250000</v>
      </c>
      <c r="K10" s="19">
        <f t="shared" ref="K10:K40" si="0">F10*J10</f>
        <v>38250000</v>
      </c>
      <c r="L10" s="20" t="s">
        <v>20</v>
      </c>
      <c r="M10" s="208" t="s">
        <v>20</v>
      </c>
      <c r="N10" s="212" t="s">
        <v>21</v>
      </c>
      <c r="O10" s="14"/>
      <c r="P10" s="14"/>
      <c r="Q10" s="187" t="s">
        <v>295</v>
      </c>
      <c r="R10" s="343">
        <f>(8500000+4250000)</f>
        <v>12750000</v>
      </c>
      <c r="S10" s="344" t="s">
        <v>296</v>
      </c>
      <c r="T10" s="345">
        <f>(8500000+4250000)</f>
        <v>12750000</v>
      </c>
      <c r="U10" s="187" t="s">
        <v>295</v>
      </c>
      <c r="V10" s="346">
        <v>25500000</v>
      </c>
      <c r="W10" s="347" t="s">
        <v>297</v>
      </c>
      <c r="X10" s="348">
        <v>25500000</v>
      </c>
      <c r="Y10" s="2"/>
    </row>
    <row r="11" spans="1:25" ht="57" customHeight="1" x14ac:dyDescent="0.25">
      <c r="A11" s="124" t="s">
        <v>274</v>
      </c>
      <c r="B11" s="300"/>
      <c r="C11" s="22">
        <v>80161500</v>
      </c>
      <c r="D11" s="23" t="s">
        <v>22</v>
      </c>
      <c r="E11" s="24" t="s">
        <v>17</v>
      </c>
      <c r="F11" s="25">
        <v>11</v>
      </c>
      <c r="G11" s="23" t="s">
        <v>18</v>
      </c>
      <c r="H11" s="24" t="s">
        <v>23</v>
      </c>
      <c r="I11" s="26">
        <v>42350000</v>
      </c>
      <c r="J11" s="26">
        <v>4250000</v>
      </c>
      <c r="K11" s="26">
        <f t="shared" si="0"/>
        <v>46750000</v>
      </c>
      <c r="L11" s="24" t="s">
        <v>20</v>
      </c>
      <c r="M11" s="24" t="s">
        <v>20</v>
      </c>
      <c r="N11" s="27" t="s">
        <v>24</v>
      </c>
      <c r="O11" s="21" t="s">
        <v>25</v>
      </c>
      <c r="P11" s="21"/>
      <c r="Q11" s="349" t="s">
        <v>298</v>
      </c>
      <c r="R11" s="350">
        <f>(8500000+4250000)</f>
        <v>12750000</v>
      </c>
      <c r="S11" s="351" t="s">
        <v>299</v>
      </c>
      <c r="T11" s="352">
        <f>(8500000+4250000)</f>
        <v>12750000</v>
      </c>
      <c r="U11" s="349" t="s">
        <v>298</v>
      </c>
      <c r="V11" s="353">
        <v>25500000</v>
      </c>
      <c r="W11" s="263" t="s">
        <v>300</v>
      </c>
      <c r="X11" s="354">
        <v>25500000</v>
      </c>
      <c r="Y11" s="2"/>
    </row>
    <row r="12" spans="1:25" ht="57" customHeight="1" x14ac:dyDescent="0.25">
      <c r="A12" s="1" t="s">
        <v>273</v>
      </c>
      <c r="B12" s="300"/>
      <c r="C12" s="22">
        <v>80111501</v>
      </c>
      <c r="D12" s="213" t="s">
        <v>278</v>
      </c>
      <c r="E12" s="24" t="s">
        <v>17</v>
      </c>
      <c r="F12" s="25">
        <v>9</v>
      </c>
      <c r="G12" s="23" t="s">
        <v>18</v>
      </c>
      <c r="H12" s="24" t="s">
        <v>19</v>
      </c>
      <c r="I12" s="26">
        <v>54450000</v>
      </c>
      <c r="J12" s="26">
        <v>5450000</v>
      </c>
      <c r="K12" s="26">
        <f>(16350000+22500000)</f>
        <v>38850000</v>
      </c>
      <c r="L12" s="24" t="s">
        <v>20</v>
      </c>
      <c r="M12" s="24" t="s">
        <v>20</v>
      </c>
      <c r="N12" s="265" t="s">
        <v>141</v>
      </c>
      <c r="O12" s="28" t="s">
        <v>26</v>
      </c>
      <c r="P12" s="28"/>
      <c r="Q12" s="349" t="s">
        <v>26</v>
      </c>
      <c r="R12" s="350">
        <f>(10900000+5450000)</f>
        <v>16350000</v>
      </c>
      <c r="S12" s="351" t="s">
        <v>301</v>
      </c>
      <c r="T12" s="352">
        <f>(10900000+5450000)</f>
        <v>16350000</v>
      </c>
      <c r="U12" s="355" t="s">
        <v>302</v>
      </c>
      <c r="V12" s="353">
        <v>22500000</v>
      </c>
      <c r="W12" s="263" t="s">
        <v>303</v>
      </c>
      <c r="X12" s="354">
        <v>22500000</v>
      </c>
      <c r="Y12" s="2"/>
    </row>
    <row r="13" spans="1:25" ht="57" customHeight="1" x14ac:dyDescent="0.25">
      <c r="A13" s="124" t="s">
        <v>270</v>
      </c>
      <c r="B13" s="300"/>
      <c r="C13" s="22">
        <v>80111501</v>
      </c>
      <c r="D13" s="213" t="s">
        <v>27</v>
      </c>
      <c r="E13" s="24" t="s">
        <v>17</v>
      </c>
      <c r="F13" s="25">
        <v>3</v>
      </c>
      <c r="G13" s="23" t="s">
        <v>18</v>
      </c>
      <c r="H13" s="24" t="s">
        <v>19</v>
      </c>
      <c r="I13" s="26">
        <v>30250000</v>
      </c>
      <c r="J13" s="26">
        <v>3050000</v>
      </c>
      <c r="K13" s="29">
        <f>(F13*J13)</f>
        <v>9150000</v>
      </c>
      <c r="L13" s="24" t="s">
        <v>20</v>
      </c>
      <c r="M13" s="24" t="s">
        <v>20</v>
      </c>
      <c r="N13" s="27" t="s">
        <v>24</v>
      </c>
      <c r="O13" s="30" t="s">
        <v>28</v>
      </c>
      <c r="P13" s="30"/>
      <c r="Q13" s="349" t="s">
        <v>28</v>
      </c>
      <c r="R13" s="350">
        <f>(6100000+3050000)</f>
        <v>9150000</v>
      </c>
      <c r="S13" s="351" t="s">
        <v>304</v>
      </c>
      <c r="T13" s="352">
        <f>(6100000+3050000)</f>
        <v>9150000</v>
      </c>
      <c r="U13" s="355"/>
      <c r="V13" s="353"/>
      <c r="W13" s="263"/>
      <c r="X13" s="354"/>
      <c r="Y13" s="2"/>
    </row>
    <row r="14" spans="1:25" ht="57" customHeight="1" x14ac:dyDescent="0.25">
      <c r="B14" s="300"/>
      <c r="C14" s="22">
        <v>84111601</v>
      </c>
      <c r="D14" s="31" t="s">
        <v>29</v>
      </c>
      <c r="E14" s="24" t="s">
        <v>182</v>
      </c>
      <c r="F14" s="25">
        <v>1</v>
      </c>
      <c r="G14" s="24" t="s">
        <v>18</v>
      </c>
      <c r="H14" s="24" t="s">
        <v>19</v>
      </c>
      <c r="I14" s="26"/>
      <c r="J14" s="32">
        <v>7450000</v>
      </c>
      <c r="K14" s="29">
        <f t="shared" si="0"/>
        <v>7450000</v>
      </c>
      <c r="L14" s="24" t="s">
        <v>20</v>
      </c>
      <c r="M14" s="24" t="s">
        <v>20</v>
      </c>
      <c r="N14" s="27" t="s">
        <v>30</v>
      </c>
      <c r="O14" s="30"/>
      <c r="P14" s="30"/>
      <c r="Q14" s="355" t="s">
        <v>31</v>
      </c>
      <c r="R14" s="350"/>
      <c r="S14" s="351"/>
      <c r="T14" s="354"/>
      <c r="U14" s="355" t="s">
        <v>31</v>
      </c>
      <c r="V14" s="353">
        <v>4569600</v>
      </c>
      <c r="W14" s="263" t="s">
        <v>305</v>
      </c>
      <c r="X14" s="354">
        <v>4569600</v>
      </c>
      <c r="Y14" s="2"/>
    </row>
    <row r="15" spans="1:25" ht="57" customHeight="1" thickBot="1" x14ac:dyDescent="0.3">
      <c r="A15" s="124" t="s">
        <v>273</v>
      </c>
      <c r="B15" s="301"/>
      <c r="C15" s="33">
        <v>80161500</v>
      </c>
      <c r="D15" s="34" t="s">
        <v>32</v>
      </c>
      <c r="E15" s="35" t="s">
        <v>17</v>
      </c>
      <c r="F15" s="36">
        <v>9</v>
      </c>
      <c r="G15" s="34" t="s">
        <v>18</v>
      </c>
      <c r="H15" s="214" t="s">
        <v>33</v>
      </c>
      <c r="I15" s="37"/>
      <c r="J15" s="37">
        <v>1750000</v>
      </c>
      <c r="K15" s="37">
        <f t="shared" si="0"/>
        <v>15750000</v>
      </c>
      <c r="L15" s="35" t="s">
        <v>20</v>
      </c>
      <c r="M15" s="35" t="s">
        <v>20</v>
      </c>
      <c r="N15" s="38" t="s">
        <v>30</v>
      </c>
      <c r="O15" s="28" t="s">
        <v>34</v>
      </c>
      <c r="P15" s="28"/>
      <c r="Q15" s="355" t="s">
        <v>34</v>
      </c>
      <c r="R15" s="350">
        <f>(3500000+1750000)</f>
        <v>5250000</v>
      </c>
      <c r="S15" s="351" t="s">
        <v>306</v>
      </c>
      <c r="T15" s="352">
        <f>(3500000+1750000)</f>
        <v>5250000</v>
      </c>
      <c r="U15" s="355"/>
      <c r="V15" s="353"/>
      <c r="W15" s="263"/>
      <c r="X15" s="354"/>
      <c r="Y15" s="2"/>
    </row>
    <row r="16" spans="1:25" ht="51" customHeight="1" x14ac:dyDescent="0.25">
      <c r="A16" s="124" t="s">
        <v>272</v>
      </c>
      <c r="B16" s="293" t="s">
        <v>35</v>
      </c>
      <c r="C16" s="80">
        <v>80161500</v>
      </c>
      <c r="D16" s="247" t="s">
        <v>36</v>
      </c>
      <c r="E16" s="52" t="s">
        <v>17</v>
      </c>
      <c r="F16" s="53">
        <v>9</v>
      </c>
      <c r="G16" s="54" t="s">
        <v>18</v>
      </c>
      <c r="H16" s="52" t="s">
        <v>19</v>
      </c>
      <c r="I16" s="55">
        <v>42350000</v>
      </c>
      <c r="J16" s="42">
        <v>4452000</v>
      </c>
      <c r="K16" s="55">
        <f t="shared" si="0"/>
        <v>40068000</v>
      </c>
      <c r="L16" s="52" t="s">
        <v>20</v>
      </c>
      <c r="M16" s="52" t="s">
        <v>20</v>
      </c>
      <c r="N16" s="56" t="s">
        <v>37</v>
      </c>
      <c r="O16" s="14"/>
      <c r="P16" s="14"/>
      <c r="Q16" s="349" t="s">
        <v>38</v>
      </c>
      <c r="R16" s="353">
        <f>(8904000+4452000)</f>
        <v>13356000</v>
      </c>
      <c r="S16" s="264" t="s">
        <v>307</v>
      </c>
      <c r="T16" s="354">
        <f>(8904000+4452000)</f>
        <v>13356000</v>
      </c>
      <c r="U16" s="349" t="s">
        <v>38</v>
      </c>
      <c r="V16" s="353">
        <v>26712000</v>
      </c>
      <c r="W16" s="263" t="s">
        <v>308</v>
      </c>
      <c r="X16" s="354">
        <v>26712000</v>
      </c>
      <c r="Y16" s="2"/>
    </row>
    <row r="17" spans="1:25" ht="45" customHeight="1" thickBot="1" x14ac:dyDescent="0.3">
      <c r="A17" s="124" t="s">
        <v>273</v>
      </c>
      <c r="B17" s="294"/>
      <c r="C17" s="39">
        <v>80161500</v>
      </c>
      <c r="D17" s="40" t="s">
        <v>39</v>
      </c>
      <c r="E17" s="41" t="s">
        <v>17</v>
      </c>
      <c r="F17" s="266">
        <v>9</v>
      </c>
      <c r="G17" s="215" t="s">
        <v>18</v>
      </c>
      <c r="H17" s="41" t="s">
        <v>19</v>
      </c>
      <c r="I17" s="42">
        <v>42350000</v>
      </c>
      <c r="J17" s="42">
        <v>5000000</v>
      </c>
      <c r="K17" s="42">
        <f t="shared" si="0"/>
        <v>45000000</v>
      </c>
      <c r="L17" s="41" t="s">
        <v>20</v>
      </c>
      <c r="M17" s="41" t="s">
        <v>20</v>
      </c>
      <c r="N17" s="216" t="s">
        <v>37</v>
      </c>
      <c r="O17" s="14"/>
      <c r="P17" s="14"/>
      <c r="Q17" s="355" t="s">
        <v>40</v>
      </c>
      <c r="R17" s="350">
        <f>(10000000+5000000)</f>
        <v>15000000</v>
      </c>
      <c r="S17" s="351" t="s">
        <v>309</v>
      </c>
      <c r="T17" s="352">
        <f>(10000000+5000000)</f>
        <v>15000000</v>
      </c>
      <c r="U17" s="349" t="s">
        <v>310</v>
      </c>
      <c r="V17" s="353">
        <f>(25000000+30000000)</f>
        <v>55000000</v>
      </c>
      <c r="W17" s="264" t="s">
        <v>311</v>
      </c>
      <c r="X17" s="353">
        <f>(25000000+30000000)</f>
        <v>55000000</v>
      </c>
      <c r="Y17" s="356" t="s">
        <v>312</v>
      </c>
    </row>
    <row r="18" spans="1:25" ht="45" customHeight="1" x14ac:dyDescent="0.25">
      <c r="A18" s="124" t="s">
        <v>273</v>
      </c>
      <c r="B18" s="302" t="s">
        <v>41</v>
      </c>
      <c r="C18" s="43">
        <v>80161500</v>
      </c>
      <c r="D18" s="44" t="s">
        <v>42</v>
      </c>
      <c r="E18" s="20" t="s">
        <v>17</v>
      </c>
      <c r="F18" s="45">
        <v>9</v>
      </c>
      <c r="G18" s="44" t="s">
        <v>18</v>
      </c>
      <c r="H18" s="20" t="s">
        <v>19</v>
      </c>
      <c r="I18" s="19">
        <v>42350000</v>
      </c>
      <c r="J18" s="19">
        <v>3350000</v>
      </c>
      <c r="K18" s="19">
        <f t="shared" si="0"/>
        <v>30150000</v>
      </c>
      <c r="L18" s="20" t="s">
        <v>20</v>
      </c>
      <c r="M18" s="20" t="s">
        <v>20</v>
      </c>
      <c r="N18" s="46" t="s">
        <v>43</v>
      </c>
      <c r="O18" s="47" t="s">
        <v>44</v>
      </c>
      <c r="P18" s="47"/>
      <c r="Q18" s="349" t="s">
        <v>44</v>
      </c>
      <c r="R18" s="353">
        <f>(6700000+3350000)</f>
        <v>10050000</v>
      </c>
      <c r="S18" s="264" t="s">
        <v>313</v>
      </c>
      <c r="T18" s="354">
        <f>(6700000+3350000)</f>
        <v>10050000</v>
      </c>
      <c r="U18" s="349" t="s">
        <v>44</v>
      </c>
      <c r="V18" s="353">
        <v>20100000</v>
      </c>
      <c r="W18" s="263" t="s">
        <v>314</v>
      </c>
      <c r="X18" s="354">
        <v>20100000</v>
      </c>
      <c r="Y18" s="2"/>
    </row>
    <row r="19" spans="1:25" ht="69.75" customHeight="1" x14ac:dyDescent="0.25">
      <c r="A19" s="124" t="s">
        <v>273</v>
      </c>
      <c r="B19" s="303"/>
      <c r="C19" s="22">
        <v>84111500</v>
      </c>
      <c r="D19" s="23" t="s">
        <v>45</v>
      </c>
      <c r="E19" s="24" t="s">
        <v>17</v>
      </c>
      <c r="F19" s="25">
        <v>9</v>
      </c>
      <c r="G19" s="23" t="s">
        <v>18</v>
      </c>
      <c r="H19" s="24" t="s">
        <v>19</v>
      </c>
      <c r="I19" s="26">
        <v>30250000</v>
      </c>
      <c r="J19" s="26">
        <v>3650000</v>
      </c>
      <c r="K19" s="26">
        <f t="shared" si="0"/>
        <v>32850000</v>
      </c>
      <c r="L19" s="24" t="s">
        <v>20</v>
      </c>
      <c r="M19" s="24" t="s">
        <v>20</v>
      </c>
      <c r="N19" s="27" t="s">
        <v>43</v>
      </c>
      <c r="O19" s="21" t="s">
        <v>46</v>
      </c>
      <c r="P19" s="21"/>
      <c r="Q19" s="355" t="s">
        <v>46</v>
      </c>
      <c r="R19" s="350">
        <f>(7300000+3650000)</f>
        <v>10950000</v>
      </c>
      <c r="S19" s="351" t="s">
        <v>315</v>
      </c>
      <c r="T19" s="352">
        <f>(7300000+3650000)</f>
        <v>10950000</v>
      </c>
      <c r="U19" s="355" t="s">
        <v>46</v>
      </c>
      <c r="V19" s="353">
        <v>21900000</v>
      </c>
      <c r="W19" s="263" t="s">
        <v>316</v>
      </c>
      <c r="X19" s="354">
        <v>21900000</v>
      </c>
      <c r="Y19" s="2"/>
    </row>
    <row r="20" spans="1:25" ht="45" customHeight="1" x14ac:dyDescent="0.25">
      <c r="A20" s="124" t="s">
        <v>273</v>
      </c>
      <c r="B20" s="303"/>
      <c r="C20" s="22">
        <v>80111501</v>
      </c>
      <c r="D20" s="213" t="s">
        <v>47</v>
      </c>
      <c r="E20" s="24" t="s">
        <v>17</v>
      </c>
      <c r="F20" s="25">
        <v>9</v>
      </c>
      <c r="G20" s="23" t="s">
        <v>18</v>
      </c>
      <c r="H20" s="24" t="s">
        <v>19</v>
      </c>
      <c r="I20" s="26">
        <v>30250000</v>
      </c>
      <c r="J20" s="26">
        <v>3050000</v>
      </c>
      <c r="K20" s="26">
        <f t="shared" si="0"/>
        <v>27450000</v>
      </c>
      <c r="L20" s="24" t="s">
        <v>20</v>
      </c>
      <c r="M20" s="24" t="s">
        <v>20</v>
      </c>
      <c r="N20" s="27" t="s">
        <v>43</v>
      </c>
      <c r="O20" s="28" t="s">
        <v>48</v>
      </c>
      <c r="P20" s="28"/>
      <c r="Q20" s="349" t="s">
        <v>48</v>
      </c>
      <c r="R20" s="350">
        <f>(6100000+3050000)</f>
        <v>9150000</v>
      </c>
      <c r="S20" s="351" t="s">
        <v>317</v>
      </c>
      <c r="T20" s="352">
        <f>(6100000+3050000)</f>
        <v>9150000</v>
      </c>
      <c r="U20" s="349"/>
      <c r="V20" s="353"/>
      <c r="W20" s="263"/>
      <c r="X20" s="354"/>
      <c r="Y20" s="2"/>
    </row>
    <row r="21" spans="1:25" ht="45" customHeight="1" x14ac:dyDescent="0.25">
      <c r="A21" s="124" t="s">
        <v>273</v>
      </c>
      <c r="B21" s="303"/>
      <c r="C21" s="22">
        <v>80161500</v>
      </c>
      <c r="D21" s="23" t="s">
        <v>49</v>
      </c>
      <c r="E21" s="24" t="s">
        <v>17</v>
      </c>
      <c r="F21" s="25">
        <v>9</v>
      </c>
      <c r="G21" s="23" t="s">
        <v>18</v>
      </c>
      <c r="H21" s="24" t="s">
        <v>19</v>
      </c>
      <c r="I21" s="26"/>
      <c r="J21" s="26">
        <v>3050000</v>
      </c>
      <c r="K21" s="26">
        <f t="shared" si="0"/>
        <v>27450000</v>
      </c>
      <c r="L21" s="24" t="s">
        <v>20</v>
      </c>
      <c r="M21" s="24" t="s">
        <v>20</v>
      </c>
      <c r="N21" s="48" t="s">
        <v>50</v>
      </c>
      <c r="O21" s="14"/>
      <c r="P21" s="14"/>
      <c r="Q21" s="355" t="s">
        <v>51</v>
      </c>
      <c r="R21" s="350"/>
      <c r="S21" s="351"/>
      <c r="T21" s="354"/>
      <c r="U21" s="355"/>
      <c r="V21" s="353"/>
      <c r="W21" s="263"/>
      <c r="X21" s="354"/>
      <c r="Y21" s="2"/>
    </row>
    <row r="22" spans="1:25" ht="45" customHeight="1" x14ac:dyDescent="0.25">
      <c r="B22" s="303"/>
      <c r="C22" s="22">
        <v>84121801</v>
      </c>
      <c r="D22" s="31" t="s">
        <v>52</v>
      </c>
      <c r="E22" s="24" t="s">
        <v>53</v>
      </c>
      <c r="F22" s="25">
        <v>1</v>
      </c>
      <c r="G22" s="23" t="s">
        <v>18</v>
      </c>
      <c r="H22" s="24" t="s">
        <v>19</v>
      </c>
      <c r="I22" s="26"/>
      <c r="J22" s="26">
        <v>19000000</v>
      </c>
      <c r="K22" s="26">
        <f>F22*J22</f>
        <v>19000000</v>
      </c>
      <c r="L22" s="24" t="s">
        <v>20</v>
      </c>
      <c r="M22" s="24" t="s">
        <v>20</v>
      </c>
      <c r="N22" s="48" t="s">
        <v>50</v>
      </c>
      <c r="O22" s="14"/>
      <c r="P22" s="14"/>
      <c r="Q22" s="355" t="s">
        <v>54</v>
      </c>
      <c r="R22" s="350"/>
      <c r="S22" s="351"/>
      <c r="T22" s="354"/>
      <c r="U22" s="355" t="s">
        <v>54</v>
      </c>
      <c r="V22" s="353"/>
      <c r="W22" s="263"/>
      <c r="X22" s="354"/>
      <c r="Y22" s="2"/>
    </row>
    <row r="23" spans="1:25" ht="45" customHeight="1" x14ac:dyDescent="0.25">
      <c r="A23" s="124" t="s">
        <v>273</v>
      </c>
      <c r="B23" s="303"/>
      <c r="C23" s="22">
        <v>80161500</v>
      </c>
      <c r="D23" s="23" t="s">
        <v>49</v>
      </c>
      <c r="E23" s="24" t="s">
        <v>17</v>
      </c>
      <c r="F23" s="25">
        <v>9</v>
      </c>
      <c r="G23" s="23" t="s">
        <v>18</v>
      </c>
      <c r="H23" s="24" t="s">
        <v>19</v>
      </c>
      <c r="I23" s="26">
        <v>30250000</v>
      </c>
      <c r="J23" s="26">
        <v>3350000</v>
      </c>
      <c r="K23" s="26">
        <f>(F23*J23)</f>
        <v>30150000</v>
      </c>
      <c r="L23" s="217" t="s">
        <v>20</v>
      </c>
      <c r="M23" s="24" t="s">
        <v>20</v>
      </c>
      <c r="N23" s="48" t="s">
        <v>50</v>
      </c>
      <c r="O23" s="21" t="s">
        <v>56</v>
      </c>
      <c r="P23" s="21"/>
      <c r="Q23" s="349" t="s">
        <v>56</v>
      </c>
      <c r="R23" s="350">
        <f>(6700000+3350000)</f>
        <v>10050000</v>
      </c>
      <c r="S23" s="351" t="s">
        <v>318</v>
      </c>
      <c r="T23" s="352">
        <f>(6700000+3350000)</f>
        <v>10050000</v>
      </c>
      <c r="U23" s="349" t="s">
        <v>56</v>
      </c>
      <c r="V23" s="353">
        <v>20100000</v>
      </c>
      <c r="W23" s="263" t="s">
        <v>319</v>
      </c>
      <c r="X23" s="354">
        <v>20100000</v>
      </c>
      <c r="Y23" s="2"/>
    </row>
    <row r="24" spans="1:25" ht="45" customHeight="1" x14ac:dyDescent="0.25">
      <c r="A24" s="124" t="s">
        <v>273</v>
      </c>
      <c r="B24" s="303"/>
      <c r="C24" s="22">
        <v>80161500</v>
      </c>
      <c r="D24" s="23" t="s">
        <v>49</v>
      </c>
      <c r="E24" s="24" t="s">
        <v>17</v>
      </c>
      <c r="F24" s="25">
        <v>9</v>
      </c>
      <c r="G24" s="23" t="s">
        <v>18</v>
      </c>
      <c r="H24" s="24" t="s">
        <v>19</v>
      </c>
      <c r="I24" s="26"/>
      <c r="J24" s="26">
        <v>4250000</v>
      </c>
      <c r="K24" s="26">
        <f>(F24*J24)</f>
        <v>38250000</v>
      </c>
      <c r="L24" s="24" t="s">
        <v>20</v>
      </c>
      <c r="M24" s="24" t="s">
        <v>20</v>
      </c>
      <c r="N24" s="48" t="s">
        <v>50</v>
      </c>
      <c r="O24" s="14"/>
      <c r="P24" s="14"/>
      <c r="Q24" s="349" t="s">
        <v>57</v>
      </c>
      <c r="R24" s="350">
        <f>(8500000+4250000)</f>
        <v>12750000</v>
      </c>
      <c r="S24" s="351" t="s">
        <v>320</v>
      </c>
      <c r="T24" s="352">
        <f>(8500000+4250000)</f>
        <v>12750000</v>
      </c>
      <c r="U24" s="355"/>
      <c r="V24" s="353"/>
      <c r="W24" s="263"/>
      <c r="X24" s="354"/>
      <c r="Y24" s="2"/>
    </row>
    <row r="25" spans="1:25" ht="45" customHeight="1" thickBot="1" x14ac:dyDescent="0.3">
      <c r="A25" s="124" t="s">
        <v>273</v>
      </c>
      <c r="B25" s="303"/>
      <c r="C25" s="39">
        <v>80161500</v>
      </c>
      <c r="D25" s="215" t="s">
        <v>58</v>
      </c>
      <c r="E25" s="41" t="s">
        <v>17</v>
      </c>
      <c r="F25" s="266">
        <v>9</v>
      </c>
      <c r="G25" s="215" t="s">
        <v>18</v>
      </c>
      <c r="H25" s="41" t="s">
        <v>19</v>
      </c>
      <c r="I25" s="42">
        <v>30250000</v>
      </c>
      <c r="J25" s="42">
        <v>4250000</v>
      </c>
      <c r="K25" s="42">
        <f t="shared" si="0"/>
        <v>38250000</v>
      </c>
      <c r="L25" s="41" t="s">
        <v>20</v>
      </c>
      <c r="M25" s="41" t="s">
        <v>20</v>
      </c>
      <c r="N25" s="49" t="s">
        <v>43</v>
      </c>
      <c r="O25" s="21" t="s">
        <v>59</v>
      </c>
      <c r="P25" s="21"/>
      <c r="Q25" s="355" t="s">
        <v>59</v>
      </c>
      <c r="R25" s="350">
        <f>(8500000+4250000)</f>
        <v>12750000</v>
      </c>
      <c r="S25" s="351" t="s">
        <v>321</v>
      </c>
      <c r="T25" s="352">
        <f>(8500000+4250000)</f>
        <v>12750000</v>
      </c>
      <c r="U25" s="355" t="s">
        <v>59</v>
      </c>
      <c r="V25" s="353">
        <v>25500000</v>
      </c>
      <c r="W25" s="263" t="s">
        <v>322</v>
      </c>
      <c r="X25" s="354">
        <v>25500000</v>
      </c>
      <c r="Y25" s="2"/>
    </row>
    <row r="26" spans="1:25" ht="45" customHeight="1" thickBot="1" x14ac:dyDescent="0.3">
      <c r="A26" s="124"/>
      <c r="B26" s="291"/>
      <c r="C26" s="559">
        <v>80161500</v>
      </c>
      <c r="D26" s="154" t="s">
        <v>286</v>
      </c>
      <c r="E26" s="153" t="s">
        <v>182</v>
      </c>
      <c r="F26" s="560">
        <v>4</v>
      </c>
      <c r="G26" s="154" t="s">
        <v>18</v>
      </c>
      <c r="H26" s="153" t="s">
        <v>19</v>
      </c>
      <c r="I26" s="561"/>
      <c r="J26" s="561">
        <v>1500000</v>
      </c>
      <c r="K26" s="561">
        <v>6000000</v>
      </c>
      <c r="L26" s="562" t="s">
        <v>20</v>
      </c>
      <c r="M26" s="153" t="s">
        <v>20</v>
      </c>
      <c r="N26" s="49" t="s">
        <v>43</v>
      </c>
      <c r="O26" s="21"/>
      <c r="P26" s="21"/>
      <c r="Q26" s="357"/>
      <c r="R26" s="4"/>
      <c r="S26" s="4"/>
      <c r="T26" s="358"/>
      <c r="U26" s="349" t="s">
        <v>323</v>
      </c>
      <c r="V26" s="353">
        <v>6000000</v>
      </c>
      <c r="W26" s="263" t="s">
        <v>324</v>
      </c>
      <c r="X26" s="354">
        <v>6000000</v>
      </c>
    </row>
    <row r="27" spans="1:25" ht="45" customHeight="1" x14ac:dyDescent="0.25">
      <c r="A27" s="124" t="s">
        <v>273</v>
      </c>
      <c r="B27" s="293" t="s">
        <v>60</v>
      </c>
      <c r="C27" s="72">
        <v>80161500</v>
      </c>
      <c r="D27" s="50" t="s">
        <v>61</v>
      </c>
      <c r="E27" s="20" t="s">
        <v>17</v>
      </c>
      <c r="F27" s="45">
        <v>9</v>
      </c>
      <c r="G27" s="44" t="s">
        <v>18</v>
      </c>
      <c r="H27" s="20" t="s">
        <v>19</v>
      </c>
      <c r="I27" s="19">
        <v>30250000</v>
      </c>
      <c r="J27" s="19">
        <v>3050000</v>
      </c>
      <c r="K27" s="19">
        <f t="shared" si="0"/>
        <v>27450000</v>
      </c>
      <c r="L27" s="218" t="s">
        <v>20</v>
      </c>
      <c r="M27" s="20" t="s">
        <v>20</v>
      </c>
      <c r="N27" s="219" t="s">
        <v>62</v>
      </c>
      <c r="O27" s="21"/>
      <c r="P27" s="21"/>
      <c r="Q27" s="355" t="s">
        <v>63</v>
      </c>
      <c r="R27" s="350">
        <f>(6100000+3050000)</f>
        <v>9150000</v>
      </c>
      <c r="S27" s="351" t="s">
        <v>325</v>
      </c>
      <c r="T27" s="352">
        <f>(6100000+3050000)</f>
        <v>9150000</v>
      </c>
      <c r="U27" s="355" t="s">
        <v>63</v>
      </c>
      <c r="V27" s="353">
        <v>18300000</v>
      </c>
      <c r="W27" s="263" t="s">
        <v>326</v>
      </c>
      <c r="X27" s="354">
        <v>18300000</v>
      </c>
      <c r="Y27" s="2"/>
    </row>
    <row r="28" spans="1:25" ht="45" customHeight="1" thickBot="1" x14ac:dyDescent="0.3">
      <c r="A28" s="124" t="s">
        <v>273</v>
      </c>
      <c r="B28" s="294"/>
      <c r="C28" s="74">
        <v>80161500</v>
      </c>
      <c r="D28" s="40" t="s">
        <v>64</v>
      </c>
      <c r="E28" s="41" t="s">
        <v>17</v>
      </c>
      <c r="F28" s="266">
        <v>9</v>
      </c>
      <c r="G28" s="215" t="s">
        <v>18</v>
      </c>
      <c r="H28" s="41" t="s">
        <v>19</v>
      </c>
      <c r="I28" s="42"/>
      <c r="J28" s="42">
        <v>3650000</v>
      </c>
      <c r="K28" s="42">
        <f t="shared" si="0"/>
        <v>32850000</v>
      </c>
      <c r="L28" s="220" t="s">
        <v>20</v>
      </c>
      <c r="M28" s="41" t="s">
        <v>20</v>
      </c>
      <c r="N28" s="221" t="s">
        <v>62</v>
      </c>
      <c r="O28" s="21"/>
      <c r="P28" s="21"/>
      <c r="Q28" s="349" t="s">
        <v>65</v>
      </c>
      <c r="R28" s="350">
        <f>(7300000+3650000)</f>
        <v>10950000</v>
      </c>
      <c r="S28" s="351" t="s">
        <v>327</v>
      </c>
      <c r="T28" s="352">
        <f>(7300000+3650000)</f>
        <v>10950000</v>
      </c>
      <c r="U28" s="349" t="s">
        <v>65</v>
      </c>
      <c r="V28" s="353">
        <v>21900000</v>
      </c>
      <c r="W28" s="263" t="s">
        <v>328</v>
      </c>
      <c r="X28" s="354">
        <v>21900000</v>
      </c>
      <c r="Y28" s="2"/>
    </row>
    <row r="29" spans="1:25" ht="33.75" customHeight="1" x14ac:dyDescent="0.25">
      <c r="B29" s="304" t="s">
        <v>68</v>
      </c>
      <c r="C29" s="43">
        <v>80111600</v>
      </c>
      <c r="D29" s="113" t="s">
        <v>66</v>
      </c>
      <c r="E29" s="20" t="s">
        <v>96</v>
      </c>
      <c r="F29" s="45">
        <v>1</v>
      </c>
      <c r="G29" s="44" t="s">
        <v>18</v>
      </c>
      <c r="H29" s="20" t="s">
        <v>19</v>
      </c>
      <c r="I29" s="19">
        <v>4524049</v>
      </c>
      <c r="J29" s="19">
        <v>8250000</v>
      </c>
      <c r="K29" s="19">
        <f t="shared" si="0"/>
        <v>8250000</v>
      </c>
      <c r="L29" s="20" t="s">
        <v>20</v>
      </c>
      <c r="M29" s="20" t="s">
        <v>20</v>
      </c>
      <c r="N29" s="57" t="s">
        <v>70</v>
      </c>
      <c r="O29" s="14"/>
      <c r="P29" s="14"/>
      <c r="Q29" s="355" t="s">
        <v>67</v>
      </c>
      <c r="R29" s="350"/>
      <c r="S29" s="351"/>
      <c r="T29" s="354"/>
      <c r="U29" s="355"/>
      <c r="V29" s="353"/>
      <c r="W29" s="263"/>
      <c r="X29" s="354"/>
      <c r="Y29" s="2"/>
    </row>
    <row r="30" spans="1:25" ht="33.75" customHeight="1" x14ac:dyDescent="0.25">
      <c r="A30" s="124" t="s">
        <v>273</v>
      </c>
      <c r="B30" s="305"/>
      <c r="C30" s="22">
        <v>80111607</v>
      </c>
      <c r="D30" s="23" t="s">
        <v>69</v>
      </c>
      <c r="E30" s="24" t="s">
        <v>17</v>
      </c>
      <c r="F30" s="25">
        <v>9</v>
      </c>
      <c r="G30" s="23" t="s">
        <v>18</v>
      </c>
      <c r="H30" s="24" t="s">
        <v>19</v>
      </c>
      <c r="I30" s="26">
        <v>30250000</v>
      </c>
      <c r="J30" s="26">
        <v>3050000</v>
      </c>
      <c r="K30" s="26">
        <f t="shared" si="0"/>
        <v>27450000</v>
      </c>
      <c r="L30" s="217" t="s">
        <v>20</v>
      </c>
      <c r="M30" s="24" t="s">
        <v>20</v>
      </c>
      <c r="N30" s="48" t="s">
        <v>70</v>
      </c>
      <c r="O30" s="14"/>
      <c r="P30" s="14"/>
      <c r="Q30" s="355" t="s">
        <v>71</v>
      </c>
      <c r="R30" s="350">
        <f>(6100000+3050000)</f>
        <v>9150000</v>
      </c>
      <c r="S30" s="351" t="s">
        <v>329</v>
      </c>
      <c r="T30" s="352">
        <f>(6100000+3050000)</f>
        <v>9150000</v>
      </c>
      <c r="U30" s="349" t="s">
        <v>48</v>
      </c>
      <c r="V30" s="353">
        <v>18300000</v>
      </c>
      <c r="W30" s="263" t="s">
        <v>330</v>
      </c>
      <c r="X30" s="354">
        <v>18300000</v>
      </c>
      <c r="Y30" s="2"/>
    </row>
    <row r="31" spans="1:25" ht="33.75" customHeight="1" x14ac:dyDescent="0.25">
      <c r="A31" s="124" t="s">
        <v>273</v>
      </c>
      <c r="B31" s="305"/>
      <c r="C31" s="22">
        <v>80161500</v>
      </c>
      <c r="D31" s="23" t="s">
        <v>72</v>
      </c>
      <c r="E31" s="24" t="s">
        <v>17</v>
      </c>
      <c r="F31" s="25">
        <v>9</v>
      </c>
      <c r="G31" s="23" t="s">
        <v>18</v>
      </c>
      <c r="H31" s="24" t="s">
        <v>19</v>
      </c>
      <c r="I31" s="26">
        <v>49408333.289999999</v>
      </c>
      <c r="J31" s="26">
        <v>4250000</v>
      </c>
      <c r="K31" s="26">
        <f t="shared" si="0"/>
        <v>38250000</v>
      </c>
      <c r="L31" s="217" t="s">
        <v>20</v>
      </c>
      <c r="M31" s="24" t="s">
        <v>20</v>
      </c>
      <c r="N31" s="48" t="s">
        <v>70</v>
      </c>
      <c r="O31" s="14"/>
      <c r="P31" s="14"/>
      <c r="Q31" s="349" t="s">
        <v>73</v>
      </c>
      <c r="R31" s="350">
        <f>(8500000+4250000)</f>
        <v>12750000</v>
      </c>
      <c r="S31" s="351" t="s">
        <v>331</v>
      </c>
      <c r="T31" s="352">
        <f>(8500000+4250000)</f>
        <v>12750000</v>
      </c>
      <c r="U31" s="349" t="s">
        <v>73</v>
      </c>
      <c r="V31" s="353">
        <v>25500000</v>
      </c>
      <c r="W31" s="263" t="s">
        <v>332</v>
      </c>
      <c r="X31" s="354">
        <v>25500000</v>
      </c>
      <c r="Y31" s="2"/>
    </row>
    <row r="32" spans="1:25" ht="33.75" customHeight="1" x14ac:dyDescent="0.25">
      <c r="A32" s="124" t="s">
        <v>283</v>
      </c>
      <c r="B32" s="305"/>
      <c r="C32" s="22">
        <v>80161500</v>
      </c>
      <c r="D32" s="23" t="s">
        <v>74</v>
      </c>
      <c r="E32" s="24" t="s">
        <v>17</v>
      </c>
      <c r="F32" s="25">
        <v>9</v>
      </c>
      <c r="G32" s="23" t="s">
        <v>18</v>
      </c>
      <c r="H32" s="24" t="s">
        <v>19</v>
      </c>
      <c r="I32" s="26"/>
      <c r="J32" s="26">
        <v>5450000</v>
      </c>
      <c r="K32" s="26">
        <f>(49050000-20000000)</f>
        <v>29050000</v>
      </c>
      <c r="L32" s="217" t="s">
        <v>20</v>
      </c>
      <c r="M32" s="24" t="s">
        <v>20</v>
      </c>
      <c r="N32" s="48" t="s">
        <v>70</v>
      </c>
      <c r="O32" s="14"/>
      <c r="P32" s="14"/>
      <c r="Q32" s="355" t="s">
        <v>75</v>
      </c>
      <c r="R32" s="350">
        <f>(10900000+5450000)</f>
        <v>16350000</v>
      </c>
      <c r="S32" s="351" t="s">
        <v>333</v>
      </c>
      <c r="T32" s="352">
        <f>(10900000+5450000)</f>
        <v>16350000</v>
      </c>
      <c r="U32" s="355"/>
      <c r="V32" s="353"/>
      <c r="W32" s="263"/>
      <c r="X32" s="354"/>
      <c r="Y32" s="2"/>
    </row>
    <row r="33" spans="1:25" ht="33.75" customHeight="1" x14ac:dyDescent="0.25">
      <c r="A33" s="124" t="s">
        <v>273</v>
      </c>
      <c r="B33" s="305"/>
      <c r="C33" s="22">
        <v>80161500</v>
      </c>
      <c r="D33" s="23" t="s">
        <v>72</v>
      </c>
      <c r="E33" s="24" t="s">
        <v>17</v>
      </c>
      <c r="F33" s="25">
        <v>9</v>
      </c>
      <c r="G33" s="23" t="s">
        <v>18</v>
      </c>
      <c r="H33" s="24" t="s">
        <v>19</v>
      </c>
      <c r="I33" s="26"/>
      <c r="J33" s="26">
        <v>3050000</v>
      </c>
      <c r="K33" s="26">
        <f t="shared" si="0"/>
        <v>27450000</v>
      </c>
      <c r="L33" s="217" t="s">
        <v>20</v>
      </c>
      <c r="M33" s="24" t="s">
        <v>20</v>
      </c>
      <c r="N33" s="48" t="s">
        <v>70</v>
      </c>
      <c r="O33" s="14"/>
      <c r="P33" s="14"/>
      <c r="Q33" s="355" t="s">
        <v>76</v>
      </c>
      <c r="R33" s="350">
        <f>(6100000+3050000)</f>
        <v>9150000</v>
      </c>
      <c r="S33" s="351" t="s">
        <v>334</v>
      </c>
      <c r="T33" s="352">
        <f>(6100000+3050000)</f>
        <v>9150000</v>
      </c>
      <c r="U33" s="355"/>
      <c r="V33" s="353"/>
      <c r="W33" s="263"/>
      <c r="X33" s="354"/>
      <c r="Y33" s="2"/>
    </row>
    <row r="34" spans="1:25" ht="37.5" customHeight="1" x14ac:dyDescent="0.25">
      <c r="B34" s="305"/>
      <c r="C34" s="22">
        <v>84111601</v>
      </c>
      <c r="D34" s="276" t="s">
        <v>77</v>
      </c>
      <c r="E34" s="24" t="s">
        <v>17</v>
      </c>
      <c r="F34" s="25">
        <v>1</v>
      </c>
      <c r="G34" s="23" t="s">
        <v>18</v>
      </c>
      <c r="H34" s="24" t="s">
        <v>19</v>
      </c>
      <c r="I34" s="26">
        <v>22000000</v>
      </c>
      <c r="J34" s="26">
        <v>24200000</v>
      </c>
      <c r="K34" s="26">
        <f t="shared" si="0"/>
        <v>24200000</v>
      </c>
      <c r="L34" s="24" t="s">
        <v>20</v>
      </c>
      <c r="M34" s="24" t="s">
        <v>20</v>
      </c>
      <c r="N34" s="48" t="s">
        <v>70</v>
      </c>
      <c r="O34" s="14"/>
      <c r="P34" s="14"/>
      <c r="Q34" s="355"/>
      <c r="R34" s="350"/>
      <c r="S34" s="351"/>
      <c r="T34" s="354"/>
      <c r="U34" s="355"/>
      <c r="V34" s="353"/>
      <c r="W34" s="263"/>
      <c r="X34" s="354"/>
      <c r="Y34" s="2"/>
    </row>
    <row r="35" spans="1:25" ht="37.5" customHeight="1" thickBot="1" x14ac:dyDescent="0.3">
      <c r="A35" s="1" t="s">
        <v>281</v>
      </c>
      <c r="B35" s="306"/>
      <c r="C35" s="39">
        <v>80161500</v>
      </c>
      <c r="D35" s="277" t="s">
        <v>282</v>
      </c>
      <c r="E35" s="41" t="s">
        <v>182</v>
      </c>
      <c r="F35" s="266">
        <v>6</v>
      </c>
      <c r="G35" s="215" t="s">
        <v>18</v>
      </c>
      <c r="H35" s="41" t="s">
        <v>19</v>
      </c>
      <c r="I35" s="42"/>
      <c r="J35" s="42">
        <v>3333333.33</v>
      </c>
      <c r="K35" s="42">
        <v>20000000</v>
      </c>
      <c r="L35" s="41" t="s">
        <v>20</v>
      </c>
      <c r="M35" s="41" t="s">
        <v>20</v>
      </c>
      <c r="N35" s="216" t="s">
        <v>70</v>
      </c>
      <c r="O35" s="14"/>
      <c r="P35" s="14"/>
      <c r="Q35" s="357"/>
      <c r="R35" s="4"/>
      <c r="S35" s="4"/>
      <c r="T35" s="358"/>
      <c r="U35" s="355" t="s">
        <v>335</v>
      </c>
      <c r="V35" s="353">
        <v>19368271</v>
      </c>
      <c r="W35" s="263" t="s">
        <v>336</v>
      </c>
      <c r="X35" s="354">
        <v>19368271</v>
      </c>
    </row>
    <row r="36" spans="1:25" ht="30" customHeight="1" x14ac:dyDescent="0.25">
      <c r="A36" s="124" t="s">
        <v>273</v>
      </c>
      <c r="B36" s="307" t="s">
        <v>78</v>
      </c>
      <c r="C36" s="43">
        <v>80161500</v>
      </c>
      <c r="D36" s="44" t="s">
        <v>79</v>
      </c>
      <c r="E36" s="20" t="s">
        <v>17</v>
      </c>
      <c r="F36" s="45">
        <v>9</v>
      </c>
      <c r="G36" s="44" t="s">
        <v>18</v>
      </c>
      <c r="H36" s="20" t="s">
        <v>19</v>
      </c>
      <c r="I36" s="19">
        <v>42350000</v>
      </c>
      <c r="J36" s="19">
        <v>3623000</v>
      </c>
      <c r="K36" s="19">
        <f t="shared" si="0"/>
        <v>32607000</v>
      </c>
      <c r="L36" s="20" t="s">
        <v>20</v>
      </c>
      <c r="M36" s="20" t="s">
        <v>20</v>
      </c>
      <c r="N36" s="57" t="s">
        <v>80</v>
      </c>
      <c r="O36" s="14"/>
      <c r="P36" s="14"/>
      <c r="Q36" s="349" t="s">
        <v>81</v>
      </c>
      <c r="R36" s="350">
        <f>(7244000+3622000)</f>
        <v>10866000</v>
      </c>
      <c r="S36" s="351" t="s">
        <v>337</v>
      </c>
      <c r="T36" s="352">
        <f>(7244000+3622000)</f>
        <v>10866000</v>
      </c>
      <c r="U36" s="349" t="s">
        <v>81</v>
      </c>
      <c r="V36" s="353">
        <v>21732000</v>
      </c>
      <c r="W36" s="263" t="s">
        <v>338</v>
      </c>
      <c r="X36" s="354">
        <v>21732000</v>
      </c>
      <c r="Y36" s="2"/>
    </row>
    <row r="37" spans="1:25" ht="77.25" customHeight="1" x14ac:dyDescent="0.25">
      <c r="A37" s="204" t="s">
        <v>284</v>
      </c>
      <c r="B37" s="308"/>
      <c r="C37" s="22">
        <v>80161500</v>
      </c>
      <c r="D37" s="23" t="s">
        <v>285</v>
      </c>
      <c r="E37" s="24" t="s">
        <v>82</v>
      </c>
      <c r="F37" s="25">
        <v>1</v>
      </c>
      <c r="G37" s="23" t="s">
        <v>18</v>
      </c>
      <c r="H37" s="24" t="s">
        <v>19</v>
      </c>
      <c r="I37" s="26">
        <v>18150000</v>
      </c>
      <c r="J37" s="26">
        <f>(32225000-6000000)</f>
        <v>26225000</v>
      </c>
      <c r="K37" s="26">
        <v>26225000</v>
      </c>
      <c r="L37" s="24" t="s">
        <v>20</v>
      </c>
      <c r="M37" s="24" t="s">
        <v>20</v>
      </c>
      <c r="N37" s="48" t="s">
        <v>80</v>
      </c>
      <c r="O37" s="14"/>
      <c r="P37" s="14"/>
      <c r="Q37" s="355" t="s">
        <v>83</v>
      </c>
      <c r="R37" s="353"/>
      <c r="S37" s="264"/>
      <c r="T37" s="354"/>
      <c r="U37" s="355"/>
      <c r="V37" s="353"/>
      <c r="W37" s="263"/>
      <c r="X37" s="354"/>
      <c r="Y37" s="2"/>
    </row>
    <row r="38" spans="1:25" ht="28.5" customHeight="1" thickBot="1" x14ac:dyDescent="0.3">
      <c r="A38" s="204" t="s">
        <v>273</v>
      </c>
      <c r="B38" s="308"/>
      <c r="C38" s="282">
        <v>80111501</v>
      </c>
      <c r="D38" s="283" t="s">
        <v>84</v>
      </c>
      <c r="E38" s="35" t="s">
        <v>17</v>
      </c>
      <c r="F38" s="36">
        <v>9</v>
      </c>
      <c r="G38" s="34" t="s">
        <v>18</v>
      </c>
      <c r="H38" s="35" t="s">
        <v>19</v>
      </c>
      <c r="I38" s="37">
        <v>22000000</v>
      </c>
      <c r="J38" s="37">
        <v>3350000</v>
      </c>
      <c r="K38" s="37">
        <f t="shared" si="0"/>
        <v>30150000</v>
      </c>
      <c r="L38" s="35" t="s">
        <v>20</v>
      </c>
      <c r="M38" s="35" t="s">
        <v>20</v>
      </c>
      <c r="N38" s="51" t="s">
        <v>80</v>
      </c>
      <c r="O38" s="14"/>
      <c r="P38" s="14"/>
      <c r="Q38" s="349" t="s">
        <v>85</v>
      </c>
      <c r="R38" s="350">
        <f>(6700000+3350000)</f>
        <v>10050000</v>
      </c>
      <c r="S38" s="351" t="s">
        <v>339</v>
      </c>
      <c r="T38" s="352">
        <f>(6700000+3350000)</f>
        <v>10050000</v>
      </c>
      <c r="U38" s="349" t="s">
        <v>85</v>
      </c>
      <c r="V38" s="353">
        <v>20100000</v>
      </c>
      <c r="W38" s="263" t="s">
        <v>340</v>
      </c>
      <c r="X38" s="354">
        <v>20100000</v>
      </c>
      <c r="Y38" s="2"/>
    </row>
    <row r="39" spans="1:25" ht="30.75" customHeight="1" x14ac:dyDescent="0.25">
      <c r="A39" s="204" t="s">
        <v>273</v>
      </c>
      <c r="B39" s="302" t="s">
        <v>86</v>
      </c>
      <c r="C39" s="80">
        <v>80161500</v>
      </c>
      <c r="D39" s="54" t="s">
        <v>87</v>
      </c>
      <c r="E39" s="52" t="s">
        <v>17</v>
      </c>
      <c r="F39" s="53">
        <v>9</v>
      </c>
      <c r="G39" s="54" t="s">
        <v>18</v>
      </c>
      <c r="H39" s="52" t="s">
        <v>19</v>
      </c>
      <c r="I39" s="55">
        <v>18150000</v>
      </c>
      <c r="J39" s="55">
        <v>3050000</v>
      </c>
      <c r="K39" s="55">
        <f t="shared" si="0"/>
        <v>27450000</v>
      </c>
      <c r="L39" s="281" t="s">
        <v>20</v>
      </c>
      <c r="M39" s="52" t="s">
        <v>20</v>
      </c>
      <c r="N39" s="56" t="s">
        <v>88</v>
      </c>
      <c r="O39" s="14"/>
      <c r="P39" s="14"/>
      <c r="Q39" s="359" t="s">
        <v>89</v>
      </c>
      <c r="R39" s="353">
        <f>(6100000+3050000)</f>
        <v>9150000</v>
      </c>
      <c r="S39" s="23" t="s">
        <v>341</v>
      </c>
      <c r="T39" s="354">
        <f>(6100000+3050000)</f>
        <v>9150000</v>
      </c>
      <c r="U39" s="349" t="s">
        <v>342</v>
      </c>
      <c r="V39" s="353">
        <v>18300000</v>
      </c>
      <c r="W39" s="263" t="s">
        <v>343</v>
      </c>
      <c r="X39" s="354">
        <v>18300000</v>
      </c>
      <c r="Y39" s="2"/>
    </row>
    <row r="40" spans="1:25" ht="30.75" customHeight="1" thickBot="1" x14ac:dyDescent="0.3">
      <c r="A40" s="204" t="s">
        <v>273</v>
      </c>
      <c r="B40" s="303"/>
      <c r="C40" s="33">
        <v>80161500</v>
      </c>
      <c r="D40" s="34" t="s">
        <v>87</v>
      </c>
      <c r="E40" s="35" t="s">
        <v>17</v>
      </c>
      <c r="F40" s="36">
        <v>9</v>
      </c>
      <c r="G40" s="34" t="s">
        <v>18</v>
      </c>
      <c r="H40" s="35" t="s">
        <v>19</v>
      </c>
      <c r="I40" s="37"/>
      <c r="J40" s="37">
        <v>3750000</v>
      </c>
      <c r="K40" s="37">
        <f t="shared" si="0"/>
        <v>33750000</v>
      </c>
      <c r="L40" s="224" t="s">
        <v>20</v>
      </c>
      <c r="M40" s="35" t="s">
        <v>20</v>
      </c>
      <c r="N40" s="51" t="s">
        <v>88</v>
      </c>
      <c r="O40" s="14"/>
      <c r="P40" s="14"/>
      <c r="Q40" s="360" t="s">
        <v>271</v>
      </c>
      <c r="R40" s="361">
        <v>7500000</v>
      </c>
      <c r="S40" s="362" t="s">
        <v>344</v>
      </c>
      <c r="T40" s="363">
        <v>7500000</v>
      </c>
      <c r="U40" s="360" t="s">
        <v>271</v>
      </c>
      <c r="V40" s="364">
        <f>(3750000+22500000)</f>
        <v>26250000</v>
      </c>
      <c r="W40" s="362" t="s">
        <v>345</v>
      </c>
      <c r="X40" s="365">
        <v>26250000</v>
      </c>
      <c r="Y40" s="2"/>
    </row>
    <row r="41" spans="1:25" ht="50.25" customHeight="1" thickBot="1" x14ac:dyDescent="0.3">
      <c r="A41" s="3"/>
      <c r="B41" s="58"/>
      <c r="C41" s="59"/>
      <c r="D41" s="60"/>
      <c r="E41" s="61"/>
      <c r="F41" s="62"/>
      <c r="G41" s="63"/>
      <c r="H41" s="61"/>
      <c r="I41" s="64">
        <f>SUM(I10:I39)</f>
        <v>654532382.28999996</v>
      </c>
      <c r="J41" s="64"/>
      <c r="K41" s="65">
        <f>SUM(K10:K40)</f>
        <v>875950000</v>
      </c>
      <c r="L41" s="66"/>
      <c r="M41" s="66"/>
      <c r="N41" s="67"/>
      <c r="O41" s="14"/>
      <c r="P41" s="14"/>
      <c r="Q41" s="366"/>
      <c r="R41" s="367">
        <f>SUM(R10:R40)</f>
        <v>255372000</v>
      </c>
      <c r="S41" s="368"/>
      <c r="T41" s="367">
        <f>SUM(T10:T40)</f>
        <v>255372000</v>
      </c>
      <c r="U41" s="2"/>
      <c r="V41" s="369">
        <f>SUM(V10:V40)</f>
        <v>443131871</v>
      </c>
      <c r="W41" s="79"/>
      <c r="X41" s="369">
        <f>SUM(X10:X40)</f>
        <v>443131871</v>
      </c>
      <c r="Y41" s="2"/>
    </row>
    <row r="42" spans="1:25" ht="15.75" thickBot="1" x14ac:dyDescent="0.3">
      <c r="A42" s="3"/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4"/>
      <c r="P42" s="14"/>
      <c r="Q42" s="366"/>
      <c r="R42" s="370"/>
      <c r="S42" s="368"/>
      <c r="T42" s="370"/>
      <c r="U42" s="2"/>
      <c r="V42" s="371"/>
      <c r="W42" s="2"/>
      <c r="X42" s="2"/>
      <c r="Y42" s="2"/>
    </row>
    <row r="43" spans="1:25" ht="34.5" customHeight="1" thickBot="1" x14ac:dyDescent="0.3">
      <c r="B43" s="309" t="s">
        <v>90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14"/>
      <c r="P43" s="14"/>
      <c r="Q43" s="372"/>
      <c r="R43" s="370"/>
      <c r="S43" s="368"/>
      <c r="T43" s="370"/>
      <c r="U43" s="2"/>
      <c r="V43" s="2"/>
      <c r="W43" s="2"/>
      <c r="X43" s="2"/>
      <c r="Y43" s="2"/>
    </row>
    <row r="44" spans="1:25" ht="34.5" customHeight="1" x14ac:dyDescent="0.25">
      <c r="A44" s="1" t="s">
        <v>270</v>
      </c>
      <c r="B44" s="312" t="s">
        <v>91</v>
      </c>
      <c r="C44" s="43">
        <v>80111600</v>
      </c>
      <c r="D44" s="226" t="s">
        <v>92</v>
      </c>
      <c r="E44" s="20" t="s">
        <v>17</v>
      </c>
      <c r="F44" s="227">
        <v>9</v>
      </c>
      <c r="G44" s="44" t="s">
        <v>18</v>
      </c>
      <c r="H44" s="227" t="s">
        <v>93</v>
      </c>
      <c r="I44" s="19" t="e">
        <f>#REF!*F44</f>
        <v>#REF!</v>
      </c>
      <c r="J44" s="70">
        <v>2450000</v>
      </c>
      <c r="K44" s="70">
        <f>(F44*J44)</f>
        <v>22050000</v>
      </c>
      <c r="L44" s="20" t="s">
        <v>20</v>
      </c>
      <c r="M44" s="20" t="s">
        <v>20</v>
      </c>
      <c r="N44" s="46" t="s">
        <v>30</v>
      </c>
      <c r="O44" s="21" t="s">
        <v>94</v>
      </c>
      <c r="P44" s="21"/>
      <c r="Q44" s="373" t="s">
        <v>94</v>
      </c>
      <c r="R44" s="346">
        <f>(4900000+2450000)</f>
        <v>7350000</v>
      </c>
      <c r="S44" s="374" t="s">
        <v>346</v>
      </c>
      <c r="T44" s="375">
        <f>(4900000+2450000)</f>
        <v>7350000</v>
      </c>
      <c r="U44" s="373" t="s">
        <v>94</v>
      </c>
      <c r="V44" s="346">
        <v>14700000</v>
      </c>
      <c r="W44" s="376" t="s">
        <v>347</v>
      </c>
      <c r="X44" s="348">
        <v>14700000</v>
      </c>
      <c r="Y44" s="2"/>
    </row>
    <row r="45" spans="1:25" ht="34.5" customHeight="1" x14ac:dyDescent="0.25">
      <c r="A45" s="1" t="s">
        <v>270</v>
      </c>
      <c r="B45" s="313"/>
      <c r="C45" s="22">
        <v>80111600</v>
      </c>
      <c r="D45" s="228" t="s">
        <v>95</v>
      </c>
      <c r="E45" s="24" t="s">
        <v>96</v>
      </c>
      <c r="F45" s="267">
        <v>9</v>
      </c>
      <c r="G45" s="23" t="s">
        <v>18</v>
      </c>
      <c r="H45" s="24" t="s">
        <v>93</v>
      </c>
      <c r="I45" s="26"/>
      <c r="J45" s="71">
        <v>2100000</v>
      </c>
      <c r="K45" s="71">
        <f t="shared" ref="K45:K54" si="1">(F45*J45)</f>
        <v>18900000</v>
      </c>
      <c r="L45" s="24" t="s">
        <v>20</v>
      </c>
      <c r="M45" s="24" t="s">
        <v>20</v>
      </c>
      <c r="N45" s="27" t="s">
        <v>24</v>
      </c>
      <c r="O45" s="21" t="s">
        <v>97</v>
      </c>
      <c r="P45" s="21"/>
      <c r="Q45" s="377" t="s">
        <v>348</v>
      </c>
      <c r="R45" s="353">
        <f>(4200000+2100000)</f>
        <v>6300000</v>
      </c>
      <c r="S45" s="264" t="s">
        <v>349</v>
      </c>
      <c r="T45" s="378">
        <f>(4200000+2100000)</f>
        <v>6300000</v>
      </c>
      <c r="U45" s="377" t="s">
        <v>348</v>
      </c>
      <c r="V45" s="353">
        <v>12600000</v>
      </c>
      <c r="W45" s="263" t="s">
        <v>350</v>
      </c>
      <c r="X45" s="354">
        <v>12600000</v>
      </c>
      <c r="Y45" s="2"/>
    </row>
    <row r="46" spans="1:25" ht="45" x14ac:dyDescent="0.25">
      <c r="A46" s="1" t="s">
        <v>270</v>
      </c>
      <c r="B46" s="313"/>
      <c r="C46" s="39">
        <v>80111600</v>
      </c>
      <c r="D46" s="229" t="s">
        <v>98</v>
      </c>
      <c r="E46" s="41" t="s">
        <v>17</v>
      </c>
      <c r="F46" s="230">
        <v>9</v>
      </c>
      <c r="G46" s="215" t="s">
        <v>18</v>
      </c>
      <c r="H46" s="41" t="s">
        <v>93</v>
      </c>
      <c r="I46" s="42">
        <v>24200000</v>
      </c>
      <c r="J46" s="223">
        <v>2450000</v>
      </c>
      <c r="K46" s="223">
        <f t="shared" si="1"/>
        <v>22050000</v>
      </c>
      <c r="L46" s="41" t="s">
        <v>20</v>
      </c>
      <c r="M46" s="41" t="s">
        <v>20</v>
      </c>
      <c r="N46" s="49" t="s">
        <v>30</v>
      </c>
      <c r="O46" s="28" t="s">
        <v>99</v>
      </c>
      <c r="P46" s="28"/>
      <c r="Q46" s="377" t="s">
        <v>99</v>
      </c>
      <c r="R46" s="353">
        <f>(4900000+2450000)</f>
        <v>7350000</v>
      </c>
      <c r="S46" s="264" t="s">
        <v>351</v>
      </c>
      <c r="T46" s="378">
        <f>(4900000+2450000)</f>
        <v>7350000</v>
      </c>
      <c r="U46" s="377" t="s">
        <v>99</v>
      </c>
      <c r="V46" s="353">
        <v>14700000</v>
      </c>
      <c r="W46" s="263" t="s">
        <v>352</v>
      </c>
      <c r="X46" s="354">
        <v>14700000</v>
      </c>
      <c r="Y46" s="2"/>
    </row>
    <row r="47" spans="1:25" ht="23.25" x14ac:dyDescent="0.25">
      <c r="A47" s="1" t="s">
        <v>270</v>
      </c>
      <c r="B47" s="314"/>
      <c r="C47" s="222">
        <v>80111600</v>
      </c>
      <c r="D47" s="228" t="s">
        <v>101</v>
      </c>
      <c r="E47" s="24" t="s">
        <v>102</v>
      </c>
      <c r="F47" s="230">
        <v>9</v>
      </c>
      <c r="G47" s="23" t="s">
        <v>18</v>
      </c>
      <c r="H47" s="24" t="s">
        <v>93</v>
      </c>
      <c r="I47" s="26"/>
      <c r="J47" s="71">
        <v>2450000</v>
      </c>
      <c r="K47" s="71">
        <f t="shared" si="1"/>
        <v>22050000</v>
      </c>
      <c r="L47" s="231" t="s">
        <v>20</v>
      </c>
      <c r="M47" s="24" t="s">
        <v>20</v>
      </c>
      <c r="N47" s="48" t="s">
        <v>37</v>
      </c>
      <c r="O47" s="28" t="s">
        <v>104</v>
      </c>
      <c r="P47" s="28"/>
      <c r="Q47" s="377" t="s">
        <v>103</v>
      </c>
      <c r="R47" s="353">
        <f>(4900000+2450000)</f>
        <v>7350000</v>
      </c>
      <c r="S47" s="264" t="s">
        <v>353</v>
      </c>
      <c r="T47" s="378">
        <f>(4900000+2450000)</f>
        <v>7350000</v>
      </c>
      <c r="U47" s="377" t="s">
        <v>103</v>
      </c>
      <c r="V47" s="353">
        <v>14700000</v>
      </c>
      <c r="W47" s="263" t="s">
        <v>354</v>
      </c>
      <c r="X47" s="354">
        <v>14700000</v>
      </c>
      <c r="Y47" s="2"/>
    </row>
    <row r="48" spans="1:25" ht="29.25" customHeight="1" x14ac:dyDescent="0.25">
      <c r="A48" s="1" t="s">
        <v>270</v>
      </c>
      <c r="B48" s="314"/>
      <c r="C48" s="74">
        <v>80111600</v>
      </c>
      <c r="D48" s="232" t="s">
        <v>101</v>
      </c>
      <c r="E48" s="41" t="s">
        <v>17</v>
      </c>
      <c r="F48" s="230">
        <v>9</v>
      </c>
      <c r="G48" s="215" t="s">
        <v>18</v>
      </c>
      <c r="H48" s="230" t="s">
        <v>93</v>
      </c>
      <c r="I48" s="42" t="e">
        <f>#REF!*F48</f>
        <v>#REF!</v>
      </c>
      <c r="J48" s="223">
        <v>2450000</v>
      </c>
      <c r="K48" s="223">
        <f t="shared" si="1"/>
        <v>22050000</v>
      </c>
      <c r="L48" s="233" t="s">
        <v>20</v>
      </c>
      <c r="M48" s="230" t="s">
        <v>20</v>
      </c>
      <c r="N48" s="216" t="s">
        <v>37</v>
      </c>
      <c r="O48" s="28" t="s">
        <v>105</v>
      </c>
      <c r="P48" s="28"/>
      <c r="Q48" s="377" t="s">
        <v>105</v>
      </c>
      <c r="R48" s="353">
        <f>(4900000+2450000)</f>
        <v>7350000</v>
      </c>
      <c r="S48" s="264" t="s">
        <v>355</v>
      </c>
      <c r="T48" s="378">
        <f>(4900000+2450000)</f>
        <v>7350000</v>
      </c>
      <c r="U48" s="377" t="s">
        <v>105</v>
      </c>
      <c r="V48" s="353">
        <v>14700000</v>
      </c>
      <c r="W48" s="263" t="s">
        <v>356</v>
      </c>
      <c r="X48" s="354">
        <v>14700000</v>
      </c>
      <c r="Y48" s="2"/>
    </row>
    <row r="49" spans="1:25" ht="29.25" customHeight="1" thickBot="1" x14ac:dyDescent="0.3">
      <c r="A49" s="1" t="s">
        <v>270</v>
      </c>
      <c r="B49" s="290"/>
      <c r="C49" s="74">
        <v>80111600</v>
      </c>
      <c r="D49" s="232" t="s">
        <v>101</v>
      </c>
      <c r="E49" s="41" t="s">
        <v>17</v>
      </c>
      <c r="F49" s="230">
        <v>9</v>
      </c>
      <c r="G49" s="215" t="s">
        <v>18</v>
      </c>
      <c r="H49" s="230" t="s">
        <v>93</v>
      </c>
      <c r="I49" s="42" t="e">
        <f>#REF!*F49</f>
        <v>#REF!</v>
      </c>
      <c r="J49" s="223">
        <v>2950000</v>
      </c>
      <c r="K49" s="223">
        <f>(F49*J49)</f>
        <v>26550000</v>
      </c>
      <c r="L49" s="233" t="s">
        <v>20</v>
      </c>
      <c r="M49" s="230" t="s">
        <v>20</v>
      </c>
      <c r="N49" s="216" t="s">
        <v>37</v>
      </c>
      <c r="O49" s="28"/>
      <c r="P49" s="28"/>
      <c r="Q49" s="377" t="s">
        <v>106</v>
      </c>
      <c r="R49" s="353">
        <f>(5900000+2950000)</f>
        <v>8850000</v>
      </c>
      <c r="S49" s="264" t="s">
        <v>357</v>
      </c>
      <c r="T49" s="378">
        <f>(5900000+2950000)</f>
        <v>8850000</v>
      </c>
      <c r="U49" s="377" t="s">
        <v>106</v>
      </c>
      <c r="V49" s="353">
        <v>17700000</v>
      </c>
      <c r="W49" s="263" t="s">
        <v>358</v>
      </c>
      <c r="X49" s="354">
        <v>17700000</v>
      </c>
      <c r="Y49" s="2"/>
    </row>
    <row r="50" spans="1:25" ht="29.25" customHeight="1" thickBot="1" x14ac:dyDescent="0.3">
      <c r="A50" s="1" t="s">
        <v>270</v>
      </c>
      <c r="B50" s="317" t="s">
        <v>107</v>
      </c>
      <c r="C50" s="43">
        <v>80111600</v>
      </c>
      <c r="D50" s="234" t="s">
        <v>110</v>
      </c>
      <c r="E50" s="20" t="s">
        <v>17</v>
      </c>
      <c r="F50" s="230">
        <v>9</v>
      </c>
      <c r="G50" s="44" t="s">
        <v>18</v>
      </c>
      <c r="H50" s="20" t="s">
        <v>93</v>
      </c>
      <c r="I50" s="19">
        <v>24200000</v>
      </c>
      <c r="J50" s="70">
        <v>2950000</v>
      </c>
      <c r="K50" s="70">
        <f t="shared" si="1"/>
        <v>26550000</v>
      </c>
      <c r="L50" s="235" t="s">
        <v>20</v>
      </c>
      <c r="M50" s="20" t="s">
        <v>20</v>
      </c>
      <c r="N50" s="117" t="s">
        <v>108</v>
      </c>
      <c r="O50" s="75"/>
      <c r="P50" s="75"/>
      <c r="Q50" s="377" t="s">
        <v>109</v>
      </c>
      <c r="R50" s="353">
        <f>(5900000+2950000)</f>
        <v>8850000</v>
      </c>
      <c r="S50" s="264" t="s">
        <v>359</v>
      </c>
      <c r="T50" s="378">
        <f>(5900000+2950000)</f>
        <v>8850000</v>
      </c>
      <c r="U50" s="379"/>
      <c r="V50" s="353"/>
      <c r="W50" s="263"/>
      <c r="X50" s="354"/>
      <c r="Y50" s="2"/>
    </row>
    <row r="51" spans="1:25" ht="29.25" customHeight="1" thickBot="1" x14ac:dyDescent="0.3">
      <c r="A51" s="1" t="s">
        <v>270</v>
      </c>
      <c r="B51" s="316"/>
      <c r="C51" s="33">
        <v>80111600</v>
      </c>
      <c r="D51" s="234" t="s">
        <v>110</v>
      </c>
      <c r="E51" s="35" t="s">
        <v>17</v>
      </c>
      <c r="F51" s="230">
        <v>9</v>
      </c>
      <c r="G51" s="34" t="s">
        <v>18</v>
      </c>
      <c r="H51" s="35" t="s">
        <v>93</v>
      </c>
      <c r="I51" s="37"/>
      <c r="J51" s="76">
        <v>2450000</v>
      </c>
      <c r="K51" s="76">
        <f t="shared" si="1"/>
        <v>22050000</v>
      </c>
      <c r="L51" s="236" t="s">
        <v>20</v>
      </c>
      <c r="M51" s="35" t="s">
        <v>20</v>
      </c>
      <c r="N51" s="77" t="s">
        <v>108</v>
      </c>
      <c r="O51" s="14"/>
      <c r="P51" s="14"/>
      <c r="Q51" s="377" t="s">
        <v>111</v>
      </c>
      <c r="R51" s="353">
        <f t="shared" ref="R51:R56" si="2">(4900000+2450000)</f>
        <v>7350000</v>
      </c>
      <c r="S51" s="264" t="s">
        <v>360</v>
      </c>
      <c r="T51" s="378">
        <f t="shared" ref="T51:T56" si="3">(4900000+2450000)</f>
        <v>7350000</v>
      </c>
      <c r="U51" s="377" t="s">
        <v>111</v>
      </c>
      <c r="V51" s="353">
        <v>14700000</v>
      </c>
      <c r="W51" s="380" t="s">
        <v>361</v>
      </c>
      <c r="X51" s="354">
        <v>14700000</v>
      </c>
      <c r="Y51" s="2"/>
    </row>
    <row r="52" spans="1:25" ht="29.25" customHeight="1" thickBot="1" x14ac:dyDescent="0.3">
      <c r="A52" s="1" t="s">
        <v>270</v>
      </c>
      <c r="B52" s="78" t="s">
        <v>41</v>
      </c>
      <c r="C52" s="237">
        <v>80111600</v>
      </c>
      <c r="D52" s="238" t="s">
        <v>55</v>
      </c>
      <c r="E52" s="208" t="s">
        <v>17</v>
      </c>
      <c r="F52" s="230">
        <v>9</v>
      </c>
      <c r="G52" s="210" t="s">
        <v>18</v>
      </c>
      <c r="H52" s="210" t="s">
        <v>93</v>
      </c>
      <c r="I52" s="211">
        <v>24200000</v>
      </c>
      <c r="J52" s="225">
        <v>2450000</v>
      </c>
      <c r="K52" s="225">
        <f t="shared" si="1"/>
        <v>22050000</v>
      </c>
      <c r="L52" s="208" t="s">
        <v>20</v>
      </c>
      <c r="M52" s="208" t="s">
        <v>20</v>
      </c>
      <c r="N52" s="239" t="s">
        <v>112</v>
      </c>
      <c r="O52" s="79"/>
      <c r="P52" s="79"/>
      <c r="Q52" s="377" t="s">
        <v>113</v>
      </c>
      <c r="R52" s="353">
        <f t="shared" si="2"/>
        <v>7350000</v>
      </c>
      <c r="S52" s="264" t="s">
        <v>362</v>
      </c>
      <c r="T52" s="378">
        <f t="shared" si="3"/>
        <v>7350000</v>
      </c>
      <c r="U52" s="377" t="s">
        <v>113</v>
      </c>
      <c r="V52" s="353">
        <v>14700000</v>
      </c>
      <c r="W52" s="380" t="s">
        <v>363</v>
      </c>
      <c r="X52" s="354">
        <v>14700000</v>
      </c>
      <c r="Y52" s="2"/>
    </row>
    <row r="53" spans="1:25" ht="29.25" customHeight="1" x14ac:dyDescent="0.25">
      <c r="A53" s="1" t="s">
        <v>270</v>
      </c>
      <c r="B53" s="318" t="s">
        <v>60</v>
      </c>
      <c r="C53" s="43">
        <v>80111600</v>
      </c>
      <c r="D53" s="73" t="s">
        <v>114</v>
      </c>
      <c r="E53" s="20" t="s">
        <v>17</v>
      </c>
      <c r="F53" s="230">
        <v>9</v>
      </c>
      <c r="G53" s="44" t="s">
        <v>18</v>
      </c>
      <c r="H53" s="20" t="s">
        <v>93</v>
      </c>
      <c r="I53" s="19"/>
      <c r="J53" s="70">
        <v>2450000</v>
      </c>
      <c r="K53" s="70">
        <f t="shared" si="1"/>
        <v>22050000</v>
      </c>
      <c r="L53" s="20" t="s">
        <v>20</v>
      </c>
      <c r="M53" s="20" t="s">
        <v>20</v>
      </c>
      <c r="N53" s="219" t="s">
        <v>62</v>
      </c>
      <c r="O53" s="79"/>
      <c r="P53" s="79"/>
      <c r="Q53" s="377" t="s">
        <v>115</v>
      </c>
      <c r="R53" s="353">
        <f t="shared" si="2"/>
        <v>7350000</v>
      </c>
      <c r="S53" s="264" t="s">
        <v>364</v>
      </c>
      <c r="T53" s="378">
        <f t="shared" si="3"/>
        <v>7350000</v>
      </c>
      <c r="U53" s="377" t="s">
        <v>115</v>
      </c>
      <c r="V53" s="353">
        <v>14700000</v>
      </c>
      <c r="W53" s="263" t="s">
        <v>365</v>
      </c>
      <c r="X53" s="354">
        <v>14700000</v>
      </c>
      <c r="Y53" s="2"/>
    </row>
    <row r="54" spans="1:25" ht="29.25" customHeight="1" thickBot="1" x14ac:dyDescent="0.3">
      <c r="A54" s="1" t="s">
        <v>270</v>
      </c>
      <c r="B54" s="319"/>
      <c r="C54" s="33">
        <v>80111600</v>
      </c>
      <c r="D54" s="234" t="s">
        <v>116</v>
      </c>
      <c r="E54" s="35" t="s">
        <v>17</v>
      </c>
      <c r="F54" s="230">
        <v>9</v>
      </c>
      <c r="G54" s="34" t="s">
        <v>18</v>
      </c>
      <c r="H54" s="35" t="s">
        <v>93</v>
      </c>
      <c r="I54" s="37"/>
      <c r="J54" s="76">
        <v>2450000</v>
      </c>
      <c r="K54" s="76">
        <f t="shared" si="1"/>
        <v>22050000</v>
      </c>
      <c r="L54" s="35" t="s">
        <v>20</v>
      </c>
      <c r="M54" s="35" t="s">
        <v>20</v>
      </c>
      <c r="N54" s="240" t="s">
        <v>62</v>
      </c>
      <c r="O54" s="79"/>
      <c r="P54" s="79"/>
      <c r="Q54" s="377" t="s">
        <v>117</v>
      </c>
      <c r="R54" s="353">
        <f t="shared" si="2"/>
        <v>7350000</v>
      </c>
      <c r="S54" s="264" t="s">
        <v>366</v>
      </c>
      <c r="T54" s="378">
        <f t="shared" si="3"/>
        <v>7350000</v>
      </c>
      <c r="U54" s="377" t="s">
        <v>117</v>
      </c>
      <c r="V54" s="353">
        <v>14700000</v>
      </c>
      <c r="W54" s="263" t="s">
        <v>367</v>
      </c>
      <c r="X54" s="354">
        <v>14700000</v>
      </c>
      <c r="Y54" s="2"/>
    </row>
    <row r="55" spans="1:25" ht="29.25" customHeight="1" x14ac:dyDescent="0.25">
      <c r="A55" s="1" t="s">
        <v>270</v>
      </c>
      <c r="B55" s="320" t="s">
        <v>118</v>
      </c>
      <c r="C55" s="80">
        <v>80111600</v>
      </c>
      <c r="D55" s="241" t="s">
        <v>119</v>
      </c>
      <c r="E55" s="52" t="s">
        <v>17</v>
      </c>
      <c r="F55" s="230">
        <v>9</v>
      </c>
      <c r="G55" s="54" t="s">
        <v>18</v>
      </c>
      <c r="H55" s="242" t="s">
        <v>93</v>
      </c>
      <c r="I55" s="55">
        <v>24200000</v>
      </c>
      <c r="J55" s="81">
        <v>2450000</v>
      </c>
      <c r="K55" s="81">
        <f t="shared" ref="K55:K61" si="4">F55*J55</f>
        <v>22050000</v>
      </c>
      <c r="L55" s="242" t="s">
        <v>20</v>
      </c>
      <c r="M55" s="242" t="s">
        <v>20</v>
      </c>
      <c r="N55" s="82" t="s">
        <v>120</v>
      </c>
      <c r="O55" s="79"/>
      <c r="P55" s="79"/>
      <c r="Q55" s="381" t="s">
        <v>121</v>
      </c>
      <c r="R55" s="353">
        <f t="shared" si="2"/>
        <v>7350000</v>
      </c>
      <c r="S55" s="264" t="s">
        <v>368</v>
      </c>
      <c r="T55" s="378">
        <f t="shared" si="3"/>
        <v>7350000</v>
      </c>
      <c r="U55" s="381" t="s">
        <v>121</v>
      </c>
      <c r="V55" s="353">
        <v>14700000</v>
      </c>
      <c r="W55" s="263" t="s">
        <v>369</v>
      </c>
      <c r="X55" s="354">
        <v>14700000</v>
      </c>
      <c r="Y55" s="2"/>
    </row>
    <row r="56" spans="1:25" ht="29.25" customHeight="1" thickBot="1" x14ac:dyDescent="0.3">
      <c r="A56" s="1" t="s">
        <v>270</v>
      </c>
      <c r="B56" s="319"/>
      <c r="C56" s="39">
        <v>80111600</v>
      </c>
      <c r="D56" s="232" t="s">
        <v>122</v>
      </c>
      <c r="E56" s="41" t="s">
        <v>17</v>
      </c>
      <c r="F56" s="230">
        <v>9</v>
      </c>
      <c r="G56" s="215" t="s">
        <v>18</v>
      </c>
      <c r="H56" s="41" t="s">
        <v>93</v>
      </c>
      <c r="I56" s="42">
        <v>26000000</v>
      </c>
      <c r="J56" s="223">
        <v>2450000</v>
      </c>
      <c r="K56" s="223">
        <f t="shared" si="4"/>
        <v>22050000</v>
      </c>
      <c r="L56" s="41" t="s">
        <v>20</v>
      </c>
      <c r="M56" s="41" t="s">
        <v>20</v>
      </c>
      <c r="N56" s="49" t="s">
        <v>120</v>
      </c>
      <c r="O56" s="79"/>
      <c r="P56" s="79"/>
      <c r="Q56" s="377" t="s">
        <v>123</v>
      </c>
      <c r="R56" s="353">
        <f t="shared" si="2"/>
        <v>7350000</v>
      </c>
      <c r="S56" s="264" t="s">
        <v>370</v>
      </c>
      <c r="T56" s="378">
        <f t="shared" si="3"/>
        <v>7350000</v>
      </c>
      <c r="U56" s="379"/>
      <c r="V56" s="353"/>
      <c r="W56" s="263"/>
      <c r="X56" s="354"/>
      <c r="Y56" s="2"/>
    </row>
    <row r="57" spans="1:25" ht="26.25" customHeight="1" x14ac:dyDescent="0.25">
      <c r="B57" s="318" t="s">
        <v>124</v>
      </c>
      <c r="C57" s="43">
        <v>78102206</v>
      </c>
      <c r="D57" s="73" t="s">
        <v>125</v>
      </c>
      <c r="E57" s="20" t="s">
        <v>17</v>
      </c>
      <c r="F57" s="45">
        <v>12</v>
      </c>
      <c r="G57" s="20" t="s">
        <v>18</v>
      </c>
      <c r="H57" s="20" t="s">
        <v>93</v>
      </c>
      <c r="I57" s="19" t="e">
        <f>#REF!*F57</f>
        <v>#REF!</v>
      </c>
      <c r="J57" s="70">
        <v>2450000</v>
      </c>
      <c r="K57" s="70">
        <f t="shared" si="4"/>
        <v>29400000</v>
      </c>
      <c r="L57" s="20" t="s">
        <v>20</v>
      </c>
      <c r="M57" s="20" t="s">
        <v>20</v>
      </c>
      <c r="N57" s="46" t="s">
        <v>126</v>
      </c>
      <c r="O57" s="79"/>
      <c r="P57" s="79"/>
      <c r="Q57" s="377" t="s">
        <v>127</v>
      </c>
      <c r="R57" s="353">
        <v>28093324</v>
      </c>
      <c r="S57" s="264" t="s">
        <v>371</v>
      </c>
      <c r="T57" s="378">
        <v>28093324</v>
      </c>
      <c r="U57" s="379"/>
      <c r="V57" s="353"/>
      <c r="W57" s="263"/>
      <c r="X57" s="354"/>
      <c r="Y57" s="2"/>
    </row>
    <row r="58" spans="1:25" ht="24" customHeight="1" x14ac:dyDescent="0.25">
      <c r="A58" s="1" t="s">
        <v>270</v>
      </c>
      <c r="B58" s="320"/>
      <c r="C58" s="22">
        <v>78102206</v>
      </c>
      <c r="D58" s="243" t="s">
        <v>125</v>
      </c>
      <c r="E58" s="24" t="s">
        <v>17</v>
      </c>
      <c r="F58" s="230">
        <v>9</v>
      </c>
      <c r="G58" s="24" t="s">
        <v>18</v>
      </c>
      <c r="H58" s="24" t="s">
        <v>93</v>
      </c>
      <c r="I58" s="26" t="e">
        <f>#REF!*F58</f>
        <v>#REF!</v>
      </c>
      <c r="J58" s="71">
        <v>2450000</v>
      </c>
      <c r="K58" s="71">
        <f t="shared" ref="K58" si="5">F58*J58</f>
        <v>22050000</v>
      </c>
      <c r="L58" s="24" t="s">
        <v>20</v>
      </c>
      <c r="M58" s="24" t="s">
        <v>20</v>
      </c>
      <c r="N58" s="27" t="s">
        <v>126</v>
      </c>
      <c r="O58" s="79"/>
      <c r="P58" s="79"/>
      <c r="Q58" s="377" t="s">
        <v>100</v>
      </c>
      <c r="R58" s="353"/>
      <c r="S58" s="264"/>
      <c r="T58" s="378"/>
      <c r="U58" s="379"/>
      <c r="V58" s="353"/>
      <c r="W58" s="263"/>
      <c r="X58" s="354"/>
      <c r="Y58" s="2"/>
    </row>
    <row r="59" spans="1:25" ht="35.25" customHeight="1" x14ac:dyDescent="0.25">
      <c r="A59" s="1" t="s">
        <v>270</v>
      </c>
      <c r="B59" s="320"/>
      <c r="C59" s="22">
        <v>80111600</v>
      </c>
      <c r="D59" s="243" t="s">
        <v>128</v>
      </c>
      <c r="E59" s="24" t="s">
        <v>17</v>
      </c>
      <c r="F59" s="230">
        <v>9</v>
      </c>
      <c r="G59" s="23" t="s">
        <v>18</v>
      </c>
      <c r="H59" s="24" t="s">
        <v>93</v>
      </c>
      <c r="I59" s="26" t="e">
        <f>#REF!*F59</f>
        <v>#REF!</v>
      </c>
      <c r="J59" s="71">
        <v>2450000</v>
      </c>
      <c r="K59" s="71">
        <f t="shared" si="4"/>
        <v>22050000</v>
      </c>
      <c r="L59" s="24" t="s">
        <v>20</v>
      </c>
      <c r="M59" s="24" t="s">
        <v>20</v>
      </c>
      <c r="N59" s="244" t="s">
        <v>126</v>
      </c>
      <c r="O59" s="79"/>
      <c r="P59" s="79"/>
      <c r="Q59" s="377" t="s">
        <v>129</v>
      </c>
      <c r="R59" s="353">
        <f>(4900000+2450000)</f>
        <v>7350000</v>
      </c>
      <c r="S59" s="264" t="s">
        <v>372</v>
      </c>
      <c r="T59" s="378">
        <f>(4900000+2450000)</f>
        <v>7350000</v>
      </c>
      <c r="U59" s="377" t="s">
        <v>129</v>
      </c>
      <c r="V59" s="353">
        <v>14700000</v>
      </c>
      <c r="W59" s="263" t="s">
        <v>373</v>
      </c>
      <c r="X59" s="354">
        <v>14700000</v>
      </c>
      <c r="Y59" s="2"/>
    </row>
    <row r="60" spans="1:25" ht="41.25" customHeight="1" thickBot="1" x14ac:dyDescent="0.3">
      <c r="A60" s="1" t="s">
        <v>270</v>
      </c>
      <c r="B60" s="319"/>
      <c r="C60" s="39">
        <v>80111600</v>
      </c>
      <c r="D60" s="229" t="s">
        <v>128</v>
      </c>
      <c r="E60" s="41" t="s">
        <v>17</v>
      </c>
      <c r="F60" s="230">
        <v>9</v>
      </c>
      <c r="G60" s="215" t="s">
        <v>18</v>
      </c>
      <c r="H60" s="41" t="s">
        <v>93</v>
      </c>
      <c r="I60" s="42" t="e">
        <f>#REF!*F60</f>
        <v>#REF!</v>
      </c>
      <c r="J60" s="223">
        <v>2450000</v>
      </c>
      <c r="K60" s="223">
        <f t="shared" si="4"/>
        <v>22050000</v>
      </c>
      <c r="L60" s="41" t="s">
        <v>20</v>
      </c>
      <c r="M60" s="41" t="s">
        <v>20</v>
      </c>
      <c r="N60" s="278" t="s">
        <v>126</v>
      </c>
      <c r="O60" s="79"/>
      <c r="P60" s="79"/>
      <c r="Q60" s="382" t="s">
        <v>130</v>
      </c>
      <c r="R60" s="353">
        <f>(4900000+2450000)</f>
        <v>7350000</v>
      </c>
      <c r="S60" s="264" t="s">
        <v>374</v>
      </c>
      <c r="T60" s="378">
        <f>(4900000+2450000)</f>
        <v>7350000</v>
      </c>
      <c r="U60" s="382" t="s">
        <v>130</v>
      </c>
      <c r="V60" s="353">
        <v>14700000</v>
      </c>
      <c r="W60" s="263" t="s">
        <v>375</v>
      </c>
      <c r="X60" s="354">
        <v>14700000</v>
      </c>
      <c r="Y60" s="2"/>
    </row>
    <row r="61" spans="1:25" ht="71.25" customHeight="1" x14ac:dyDescent="0.25">
      <c r="B61" s="315" t="s">
        <v>78</v>
      </c>
      <c r="C61" s="43">
        <v>80111600</v>
      </c>
      <c r="D61" s="279" t="s">
        <v>131</v>
      </c>
      <c r="E61" s="20" t="s">
        <v>17</v>
      </c>
      <c r="F61" s="45">
        <v>12</v>
      </c>
      <c r="G61" s="44" t="s">
        <v>18</v>
      </c>
      <c r="H61" s="20" t="s">
        <v>93</v>
      </c>
      <c r="I61" s="19">
        <v>24200000</v>
      </c>
      <c r="J61" s="70">
        <v>2750000</v>
      </c>
      <c r="K61" s="70">
        <f t="shared" si="4"/>
        <v>33000000</v>
      </c>
      <c r="L61" s="20" t="s">
        <v>20</v>
      </c>
      <c r="M61" s="20" t="s">
        <v>20</v>
      </c>
      <c r="N61" s="46" t="s">
        <v>132</v>
      </c>
      <c r="O61" s="14"/>
      <c r="P61" s="14"/>
      <c r="Q61" s="377" t="s">
        <v>133</v>
      </c>
      <c r="R61" s="353">
        <v>32888248</v>
      </c>
      <c r="S61" s="264" t="s">
        <v>376</v>
      </c>
      <c r="T61" s="378">
        <v>32888248</v>
      </c>
      <c r="U61" s="379"/>
      <c r="V61" s="353"/>
      <c r="W61" s="263"/>
      <c r="X61" s="354"/>
      <c r="Y61" s="2"/>
    </row>
    <row r="62" spans="1:25" ht="71.25" customHeight="1" x14ac:dyDescent="0.25">
      <c r="A62" s="1" t="s">
        <v>270</v>
      </c>
      <c r="B62" s="317"/>
      <c r="C62" s="22">
        <v>80111600</v>
      </c>
      <c r="D62" s="83" t="s">
        <v>134</v>
      </c>
      <c r="E62" s="24" t="s">
        <v>135</v>
      </c>
      <c r="F62" s="25">
        <v>10</v>
      </c>
      <c r="G62" s="23" t="s">
        <v>18</v>
      </c>
      <c r="H62" s="24" t="s">
        <v>93</v>
      </c>
      <c r="I62" s="26"/>
      <c r="J62" s="71">
        <v>5960000</v>
      </c>
      <c r="K62" s="71">
        <f>(59450000+150000)</f>
        <v>59600000</v>
      </c>
      <c r="L62" s="24" t="s">
        <v>20</v>
      </c>
      <c r="M62" s="24" t="s">
        <v>20</v>
      </c>
      <c r="N62" s="27" t="s">
        <v>132</v>
      </c>
      <c r="O62" s="14"/>
      <c r="P62" s="14"/>
      <c r="Q62" s="379" t="s">
        <v>83</v>
      </c>
      <c r="R62" s="353"/>
      <c r="S62" s="264"/>
      <c r="T62" s="378"/>
      <c r="U62" s="379"/>
      <c r="V62" s="353"/>
      <c r="W62" s="263"/>
      <c r="X62" s="354"/>
      <c r="Y62" s="2"/>
    </row>
    <row r="63" spans="1:25" ht="71.25" customHeight="1" thickBot="1" x14ac:dyDescent="0.3">
      <c r="B63" s="316"/>
      <c r="C63" s="33">
        <v>80111600</v>
      </c>
      <c r="D63" s="280" t="s">
        <v>134</v>
      </c>
      <c r="E63" s="35" t="s">
        <v>135</v>
      </c>
      <c r="F63" s="36">
        <v>10</v>
      </c>
      <c r="G63" s="34" t="s">
        <v>18</v>
      </c>
      <c r="H63" s="35" t="s">
        <v>93</v>
      </c>
      <c r="I63" s="37"/>
      <c r="J63" s="76">
        <v>4875000</v>
      </c>
      <c r="K63" s="76">
        <v>48750000</v>
      </c>
      <c r="L63" s="35" t="s">
        <v>20</v>
      </c>
      <c r="M63" s="35" t="s">
        <v>20</v>
      </c>
      <c r="N63" s="38" t="s">
        <v>132</v>
      </c>
      <c r="O63" s="14"/>
      <c r="P63" s="14"/>
      <c r="Q63" s="383" t="s">
        <v>83</v>
      </c>
      <c r="R63" s="384"/>
      <c r="S63" s="362"/>
      <c r="T63" s="385"/>
      <c r="U63" s="383"/>
      <c r="V63" s="364"/>
      <c r="W63" s="362"/>
      <c r="X63" s="363"/>
      <c r="Y63" s="2"/>
    </row>
    <row r="64" spans="1:25" ht="29.25" customHeight="1" thickBot="1" x14ac:dyDescent="0.3">
      <c r="B64" s="84"/>
      <c r="C64" s="59"/>
      <c r="D64" s="63"/>
      <c r="E64" s="61"/>
      <c r="F64" s="62"/>
      <c r="G64" s="63"/>
      <c r="H64" s="85"/>
      <c r="I64" s="86" t="e">
        <f>SUM(I46:I61)</f>
        <v>#REF!</v>
      </c>
      <c r="J64" s="86"/>
      <c r="K64" s="111">
        <f>SUM(K44:K63)</f>
        <v>529400000</v>
      </c>
      <c r="L64" s="205"/>
      <c r="M64" s="66"/>
      <c r="N64" s="87"/>
      <c r="O64" s="1"/>
      <c r="P64" s="1"/>
      <c r="Q64" s="370"/>
      <c r="R64" s="386">
        <f>SUM(R44:R63)</f>
        <v>173181572</v>
      </c>
      <c r="S64" s="368"/>
      <c r="T64" s="386">
        <f>SUM(T44:T63)</f>
        <v>173181572</v>
      </c>
      <c r="U64" s="14"/>
      <c r="V64" s="369">
        <f>SUM(V44:V63)</f>
        <v>192000000</v>
      </c>
      <c r="W64" s="79"/>
      <c r="X64" s="369">
        <f>SUM(X44:X63)</f>
        <v>192000000</v>
      </c>
      <c r="Y64" s="2"/>
    </row>
    <row r="65" spans="1:25" ht="29.25" customHeight="1" thickBot="1" x14ac:dyDescent="0.3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8"/>
      <c r="M65" s="84"/>
      <c r="N65" s="87"/>
      <c r="O65" s="1"/>
      <c r="P65" s="1"/>
      <c r="Q65" s="372"/>
      <c r="R65" s="387"/>
      <c r="S65" s="368"/>
      <c r="T65" s="372"/>
      <c r="U65" s="14"/>
      <c r="V65" s="3"/>
      <c r="W65" s="3"/>
      <c r="X65" s="2"/>
      <c r="Y65" s="2"/>
    </row>
    <row r="66" spans="1:25" ht="29.25" customHeight="1" thickBot="1" x14ac:dyDescent="0.3">
      <c r="A66" s="3"/>
      <c r="B66" s="89"/>
      <c r="C66" s="328" t="s">
        <v>136</v>
      </c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90"/>
      <c r="O66" s="1"/>
      <c r="P66" s="1"/>
      <c r="Q66" s="372"/>
      <c r="R66" s="370"/>
      <c r="S66" s="368"/>
      <c r="T66" s="370"/>
      <c r="U66" s="14"/>
      <c r="V66" s="14"/>
      <c r="W66" s="14"/>
      <c r="X66" s="2"/>
      <c r="Y66" s="2"/>
    </row>
    <row r="67" spans="1:25" ht="45" x14ac:dyDescent="0.25">
      <c r="A67" s="1" t="s">
        <v>276</v>
      </c>
      <c r="B67" s="321" t="s">
        <v>78</v>
      </c>
      <c r="C67" s="268" t="s">
        <v>137</v>
      </c>
      <c r="D67" s="269" t="s">
        <v>138</v>
      </c>
      <c r="E67" s="20" t="s">
        <v>102</v>
      </c>
      <c r="F67" s="270">
        <v>1</v>
      </c>
      <c r="G67" s="20" t="s">
        <v>139</v>
      </c>
      <c r="H67" s="44" t="s">
        <v>140</v>
      </c>
      <c r="I67" s="271"/>
      <c r="J67" s="272">
        <f>(397680160-230000)</f>
        <v>397450160</v>
      </c>
      <c r="K67" s="272">
        <f>(F67*J67)</f>
        <v>397450160</v>
      </c>
      <c r="L67" s="20" t="s">
        <v>20</v>
      </c>
      <c r="M67" s="20" t="s">
        <v>20</v>
      </c>
      <c r="N67" s="273" t="s">
        <v>141</v>
      </c>
      <c r="O67" s="1"/>
      <c r="P67" s="1"/>
      <c r="Q67" s="388"/>
      <c r="R67" s="389"/>
      <c r="S67" s="390"/>
      <c r="T67" s="391"/>
      <c r="U67" s="392"/>
      <c r="V67" s="347"/>
      <c r="W67" s="347"/>
      <c r="X67" s="393"/>
      <c r="Y67" s="2"/>
    </row>
    <row r="68" spans="1:25" ht="33.75" x14ac:dyDescent="0.25">
      <c r="B68" s="314"/>
      <c r="C68" s="91">
        <v>80161500</v>
      </c>
      <c r="D68" s="92" t="s">
        <v>142</v>
      </c>
      <c r="E68" s="24" t="s">
        <v>17</v>
      </c>
      <c r="F68" s="93">
        <v>12</v>
      </c>
      <c r="G68" s="24" t="s">
        <v>18</v>
      </c>
      <c r="H68" s="23" t="s">
        <v>140</v>
      </c>
      <c r="I68" s="94"/>
      <c r="J68" s="95">
        <v>6672000</v>
      </c>
      <c r="K68" s="96">
        <f t="shared" ref="K68:K72" si="6">(F68*J68)</f>
        <v>80064000</v>
      </c>
      <c r="L68" s="24" t="s">
        <v>20</v>
      </c>
      <c r="M68" s="24" t="s">
        <v>20</v>
      </c>
      <c r="N68" s="97" t="s">
        <v>141</v>
      </c>
      <c r="O68" s="1"/>
      <c r="P68" s="1"/>
      <c r="Q68" s="394" t="s">
        <v>377</v>
      </c>
      <c r="R68" s="395">
        <v>78729600</v>
      </c>
      <c r="S68" s="396" t="s">
        <v>378</v>
      </c>
      <c r="T68" s="397">
        <v>78729600</v>
      </c>
      <c r="U68" s="379"/>
      <c r="V68" s="263"/>
      <c r="W68" s="263"/>
      <c r="X68" s="398"/>
      <c r="Y68" s="2"/>
    </row>
    <row r="69" spans="1:25" ht="37.5" customHeight="1" x14ac:dyDescent="0.25">
      <c r="B69" s="314"/>
      <c r="C69" s="91">
        <v>80161500</v>
      </c>
      <c r="D69" s="92" t="s">
        <v>142</v>
      </c>
      <c r="E69" s="24" t="s">
        <v>143</v>
      </c>
      <c r="F69" s="93">
        <v>12</v>
      </c>
      <c r="G69" s="24" t="s">
        <v>18</v>
      </c>
      <c r="H69" s="23" t="s">
        <v>140</v>
      </c>
      <c r="I69" s="94"/>
      <c r="J69" s="95">
        <v>6672000</v>
      </c>
      <c r="K69" s="96">
        <f t="shared" si="6"/>
        <v>80064000</v>
      </c>
      <c r="L69" s="24" t="s">
        <v>20</v>
      </c>
      <c r="M69" s="24" t="s">
        <v>20</v>
      </c>
      <c r="N69" s="97" t="s">
        <v>141</v>
      </c>
      <c r="O69" s="1"/>
      <c r="P69" s="1"/>
      <c r="Q69" s="394" t="s">
        <v>379</v>
      </c>
      <c r="R69" s="395">
        <v>33360000</v>
      </c>
      <c r="S69" s="399" t="s">
        <v>380</v>
      </c>
      <c r="T69" s="397">
        <v>33360000</v>
      </c>
      <c r="U69" s="394" t="s">
        <v>379</v>
      </c>
      <c r="V69" s="353">
        <v>40476800</v>
      </c>
      <c r="W69" s="263" t="s">
        <v>381</v>
      </c>
      <c r="X69" s="354">
        <v>40476800</v>
      </c>
      <c r="Y69" s="2"/>
    </row>
    <row r="70" spans="1:25" ht="67.5" x14ac:dyDescent="0.25">
      <c r="B70" s="314"/>
      <c r="C70" s="91">
        <v>72141000</v>
      </c>
      <c r="D70" s="98" t="s">
        <v>144</v>
      </c>
      <c r="E70" s="24" t="s">
        <v>17</v>
      </c>
      <c r="F70" s="93">
        <v>12</v>
      </c>
      <c r="G70" s="24" t="s">
        <v>145</v>
      </c>
      <c r="H70" s="23" t="s">
        <v>140</v>
      </c>
      <c r="I70" s="94"/>
      <c r="J70" s="95">
        <v>23328269</v>
      </c>
      <c r="K70" s="96">
        <f t="shared" si="6"/>
        <v>279939228</v>
      </c>
      <c r="L70" s="24" t="s">
        <v>20</v>
      </c>
      <c r="M70" s="24" t="s">
        <v>20</v>
      </c>
      <c r="N70" s="97" t="s">
        <v>141</v>
      </c>
      <c r="O70" s="1"/>
      <c r="P70" s="1"/>
      <c r="Q70" s="394" t="s">
        <v>382</v>
      </c>
      <c r="R70" s="395">
        <v>279939213</v>
      </c>
      <c r="S70" s="396" t="s">
        <v>383</v>
      </c>
      <c r="T70" s="397">
        <v>279939213</v>
      </c>
      <c r="U70" s="379"/>
      <c r="V70" s="263"/>
      <c r="W70" s="263"/>
      <c r="X70" s="398"/>
      <c r="Y70" s="2"/>
    </row>
    <row r="71" spans="1:25" ht="57" customHeight="1" x14ac:dyDescent="0.25">
      <c r="B71" s="314"/>
      <c r="C71" s="91">
        <v>72141000</v>
      </c>
      <c r="D71" s="98" t="s">
        <v>146</v>
      </c>
      <c r="E71" s="24" t="s">
        <v>17</v>
      </c>
      <c r="F71" s="93">
        <v>12</v>
      </c>
      <c r="G71" s="24" t="s">
        <v>145</v>
      </c>
      <c r="H71" s="23" t="s">
        <v>140</v>
      </c>
      <c r="I71" s="94"/>
      <c r="J71" s="95">
        <v>24835443</v>
      </c>
      <c r="K71" s="96">
        <f t="shared" si="6"/>
        <v>298025316</v>
      </c>
      <c r="L71" s="24" t="s">
        <v>20</v>
      </c>
      <c r="M71" s="24" t="s">
        <v>20</v>
      </c>
      <c r="N71" s="97" t="s">
        <v>141</v>
      </c>
      <c r="O71" s="1"/>
      <c r="P71" s="1"/>
      <c r="Q71" s="400" t="s">
        <v>384</v>
      </c>
      <c r="R71" s="395">
        <f>(208025305+90000000)</f>
        <v>298025305</v>
      </c>
      <c r="S71" s="396" t="s">
        <v>385</v>
      </c>
      <c r="T71" s="397">
        <f>(208025305+90000000)</f>
        <v>298025305</v>
      </c>
      <c r="U71" s="379"/>
      <c r="V71" s="263"/>
      <c r="W71" s="263"/>
      <c r="X71" s="398"/>
      <c r="Y71" s="2"/>
    </row>
    <row r="72" spans="1:25" ht="68.25" customHeight="1" x14ac:dyDescent="0.25">
      <c r="B72" s="314"/>
      <c r="C72" s="91">
        <v>72141000</v>
      </c>
      <c r="D72" s="98" t="s">
        <v>147</v>
      </c>
      <c r="E72" s="24" t="s">
        <v>17</v>
      </c>
      <c r="F72" s="93">
        <v>12</v>
      </c>
      <c r="G72" s="24" t="s">
        <v>145</v>
      </c>
      <c r="H72" s="23" t="s">
        <v>140</v>
      </c>
      <c r="I72" s="94"/>
      <c r="J72" s="95">
        <v>22103132</v>
      </c>
      <c r="K72" s="96">
        <f t="shared" si="6"/>
        <v>265237584</v>
      </c>
      <c r="L72" s="24" t="s">
        <v>20</v>
      </c>
      <c r="M72" s="24" t="s">
        <v>20</v>
      </c>
      <c r="N72" s="97" t="s">
        <v>141</v>
      </c>
      <c r="O72" s="1"/>
      <c r="P72" s="1"/>
      <c r="Q72" s="394" t="s">
        <v>386</v>
      </c>
      <c r="R72" s="395">
        <v>265237587</v>
      </c>
      <c r="S72" s="396" t="s">
        <v>387</v>
      </c>
      <c r="T72" s="397">
        <v>265237587</v>
      </c>
      <c r="U72" s="379"/>
      <c r="V72" s="263"/>
      <c r="W72" s="263"/>
      <c r="X72" s="398"/>
      <c r="Y72" s="2"/>
    </row>
    <row r="73" spans="1:25" ht="60" customHeight="1" x14ac:dyDescent="0.25">
      <c r="B73" s="314"/>
      <c r="C73" s="91">
        <v>84131500</v>
      </c>
      <c r="D73" s="98" t="s">
        <v>148</v>
      </c>
      <c r="E73" s="24" t="s">
        <v>149</v>
      </c>
      <c r="F73" s="93">
        <v>1</v>
      </c>
      <c r="G73" s="24" t="s">
        <v>150</v>
      </c>
      <c r="H73" s="23" t="s">
        <v>140</v>
      </c>
      <c r="I73" s="94"/>
      <c r="J73" s="95">
        <v>170000000</v>
      </c>
      <c r="K73" s="95">
        <f t="shared" ref="K73:K90" si="7">F73*J73</f>
        <v>170000000</v>
      </c>
      <c r="L73" s="24" t="s">
        <v>20</v>
      </c>
      <c r="M73" s="24" t="s">
        <v>20</v>
      </c>
      <c r="N73" s="97" t="s">
        <v>141</v>
      </c>
      <c r="O73" s="61"/>
      <c r="P73" s="61"/>
      <c r="Q73" s="401"/>
      <c r="S73" s="396"/>
      <c r="T73" s="397"/>
      <c r="U73" s="402" t="s">
        <v>388</v>
      </c>
      <c r="V73" s="395">
        <f>(13105945+149215683)</f>
        <v>162321628</v>
      </c>
      <c r="W73" s="264" t="s">
        <v>389</v>
      </c>
      <c r="X73" s="403">
        <f>(13105945+149215683)</f>
        <v>162321628</v>
      </c>
      <c r="Y73" s="2"/>
    </row>
    <row r="74" spans="1:25" ht="68.25" customHeight="1" x14ac:dyDescent="0.25">
      <c r="B74" s="314"/>
      <c r="C74" s="91">
        <v>81101500</v>
      </c>
      <c r="D74" s="98" t="s">
        <v>151</v>
      </c>
      <c r="E74" s="24" t="s">
        <v>143</v>
      </c>
      <c r="F74" s="93">
        <v>12</v>
      </c>
      <c r="G74" s="24" t="s">
        <v>152</v>
      </c>
      <c r="H74" s="23" t="s">
        <v>140</v>
      </c>
      <c r="I74" s="94"/>
      <c r="J74" s="95">
        <v>42234606</v>
      </c>
      <c r="K74" s="95">
        <f t="shared" si="7"/>
        <v>506815272</v>
      </c>
      <c r="L74" s="24" t="s">
        <v>153</v>
      </c>
      <c r="M74" s="24" t="s">
        <v>153</v>
      </c>
      <c r="N74" s="97" t="s">
        <v>141</v>
      </c>
      <c r="O74" s="61"/>
      <c r="P74" s="61"/>
      <c r="Q74" s="404" t="s">
        <v>390</v>
      </c>
      <c r="R74" s="353">
        <v>506738842</v>
      </c>
      <c r="S74" s="264" t="s">
        <v>391</v>
      </c>
      <c r="T74" s="378">
        <v>506738842</v>
      </c>
      <c r="U74" s="379"/>
      <c r="V74" s="263"/>
      <c r="W74" s="263"/>
      <c r="X74" s="398"/>
      <c r="Y74" s="2"/>
    </row>
    <row r="75" spans="1:25" ht="49.5" customHeight="1" x14ac:dyDescent="0.25">
      <c r="B75" s="314"/>
      <c r="C75" s="91">
        <v>72141000</v>
      </c>
      <c r="D75" s="98" t="s">
        <v>154</v>
      </c>
      <c r="E75" s="24" t="s">
        <v>143</v>
      </c>
      <c r="F75" s="93">
        <v>1</v>
      </c>
      <c r="G75" s="24" t="s">
        <v>145</v>
      </c>
      <c r="H75" s="23" t="s">
        <v>140</v>
      </c>
      <c r="I75" s="94"/>
      <c r="J75" s="95">
        <v>231480000</v>
      </c>
      <c r="K75" s="95">
        <f t="shared" si="7"/>
        <v>231480000</v>
      </c>
      <c r="L75" s="24" t="s">
        <v>20</v>
      </c>
      <c r="M75" s="24" t="s">
        <v>20</v>
      </c>
      <c r="N75" s="97" t="s">
        <v>141</v>
      </c>
      <c r="O75" s="14"/>
      <c r="P75" s="14"/>
      <c r="Q75" s="401" t="s">
        <v>392</v>
      </c>
      <c r="R75" s="395">
        <v>226803309</v>
      </c>
      <c r="S75" s="396" t="s">
        <v>393</v>
      </c>
      <c r="T75" s="397">
        <v>226803309</v>
      </c>
      <c r="U75" s="379"/>
      <c r="V75" s="263"/>
      <c r="W75" s="263"/>
      <c r="X75" s="398"/>
      <c r="Y75" s="2"/>
    </row>
    <row r="76" spans="1:25" ht="49.5" customHeight="1" x14ac:dyDescent="0.25">
      <c r="B76" s="314"/>
      <c r="C76" s="91">
        <v>80161500</v>
      </c>
      <c r="D76" s="98" t="s">
        <v>155</v>
      </c>
      <c r="E76" s="24" t="s">
        <v>143</v>
      </c>
      <c r="F76" s="93">
        <v>12</v>
      </c>
      <c r="G76" s="24" t="s">
        <v>18</v>
      </c>
      <c r="H76" s="23" t="s">
        <v>140</v>
      </c>
      <c r="I76" s="94"/>
      <c r="J76" s="95">
        <v>6672000</v>
      </c>
      <c r="K76" s="95">
        <f t="shared" si="7"/>
        <v>80064000</v>
      </c>
      <c r="L76" s="24" t="s">
        <v>20</v>
      </c>
      <c r="M76" s="24" t="s">
        <v>20</v>
      </c>
      <c r="N76" s="97" t="s">
        <v>141</v>
      </c>
      <c r="O76" s="14"/>
      <c r="P76" s="14"/>
      <c r="Q76" s="400" t="s">
        <v>394</v>
      </c>
      <c r="R76" s="395">
        <v>76283200</v>
      </c>
      <c r="S76" s="396" t="s">
        <v>395</v>
      </c>
      <c r="T76" s="397">
        <v>76283200</v>
      </c>
      <c r="U76" s="379"/>
      <c r="V76" s="263"/>
      <c r="W76" s="263"/>
      <c r="X76" s="398"/>
      <c r="Y76" s="2"/>
    </row>
    <row r="77" spans="1:25" ht="49.5" customHeight="1" x14ac:dyDescent="0.25">
      <c r="B77" s="314"/>
      <c r="C77" s="91">
        <v>80161500</v>
      </c>
      <c r="D77" s="98" t="s">
        <v>155</v>
      </c>
      <c r="E77" s="24" t="s">
        <v>143</v>
      </c>
      <c r="F77" s="93">
        <v>12</v>
      </c>
      <c r="G77" s="24" t="s">
        <v>18</v>
      </c>
      <c r="H77" s="23" t="s">
        <v>140</v>
      </c>
      <c r="I77" s="94"/>
      <c r="J77" s="95">
        <v>7939323</v>
      </c>
      <c r="K77" s="95">
        <f t="shared" si="7"/>
        <v>95271876</v>
      </c>
      <c r="L77" s="24" t="s">
        <v>20</v>
      </c>
      <c r="M77" s="24" t="s">
        <v>20</v>
      </c>
      <c r="N77" s="97" t="s">
        <v>141</v>
      </c>
      <c r="O77" s="14"/>
      <c r="P77" s="14"/>
      <c r="Q77" s="400" t="s">
        <v>396</v>
      </c>
      <c r="R77" s="395">
        <v>39700000</v>
      </c>
      <c r="S77" s="396" t="s">
        <v>397</v>
      </c>
      <c r="T77" s="397">
        <v>39700000</v>
      </c>
      <c r="U77" s="400" t="s">
        <v>396</v>
      </c>
      <c r="V77" s="353">
        <v>48169333</v>
      </c>
      <c r="W77" s="263" t="s">
        <v>398</v>
      </c>
      <c r="X77" s="354">
        <v>48169333</v>
      </c>
      <c r="Y77" s="2"/>
    </row>
    <row r="78" spans="1:25" ht="32.25" customHeight="1" x14ac:dyDescent="0.25">
      <c r="B78" s="314"/>
      <c r="C78" s="91">
        <v>80161500</v>
      </c>
      <c r="D78" s="98" t="s">
        <v>155</v>
      </c>
      <c r="E78" s="24" t="s">
        <v>143</v>
      </c>
      <c r="F78" s="93">
        <v>12</v>
      </c>
      <c r="G78" s="24" t="s">
        <v>18</v>
      </c>
      <c r="H78" s="23" t="s">
        <v>140</v>
      </c>
      <c r="I78" s="94"/>
      <c r="J78" s="95">
        <v>6300000</v>
      </c>
      <c r="K78" s="95">
        <f t="shared" si="7"/>
        <v>75600000</v>
      </c>
      <c r="L78" s="24" t="s">
        <v>20</v>
      </c>
      <c r="M78" s="24" t="s">
        <v>20</v>
      </c>
      <c r="N78" s="97" t="s">
        <v>141</v>
      </c>
      <c r="O78" s="61"/>
      <c r="P78" s="61"/>
      <c r="Q78" s="404" t="s">
        <v>399</v>
      </c>
      <c r="R78" s="353">
        <v>31500000</v>
      </c>
      <c r="S78" s="264" t="s">
        <v>400</v>
      </c>
      <c r="T78" s="378">
        <v>31500000</v>
      </c>
      <c r="U78" s="402" t="s">
        <v>401</v>
      </c>
      <c r="V78" s="353">
        <v>38220000</v>
      </c>
      <c r="W78" s="263" t="s">
        <v>402</v>
      </c>
      <c r="X78" s="354">
        <v>38220000</v>
      </c>
      <c r="Y78" s="2"/>
    </row>
    <row r="79" spans="1:25" ht="32.25" customHeight="1" x14ac:dyDescent="0.25">
      <c r="B79" s="314"/>
      <c r="C79" s="91">
        <v>80161500</v>
      </c>
      <c r="D79" s="98" t="s">
        <v>156</v>
      </c>
      <c r="E79" s="24" t="s">
        <v>157</v>
      </c>
      <c r="F79" s="93">
        <v>11</v>
      </c>
      <c r="G79" s="24" t="s">
        <v>18</v>
      </c>
      <c r="H79" s="23" t="s">
        <v>140</v>
      </c>
      <c r="I79" s="94"/>
      <c r="J79" s="95">
        <v>5000000</v>
      </c>
      <c r="K79" s="95">
        <f t="shared" si="7"/>
        <v>55000000</v>
      </c>
      <c r="L79" s="24" t="s">
        <v>20</v>
      </c>
      <c r="M79" s="24" t="s">
        <v>20</v>
      </c>
      <c r="N79" s="97" t="s">
        <v>141</v>
      </c>
      <c r="O79" s="61"/>
      <c r="P79" s="61"/>
      <c r="Q79" s="404"/>
      <c r="S79" s="264"/>
      <c r="T79" s="378"/>
      <c r="U79" s="402" t="s">
        <v>403</v>
      </c>
      <c r="V79" s="353">
        <v>29167000</v>
      </c>
      <c r="W79" s="263" t="s">
        <v>404</v>
      </c>
      <c r="X79" s="354">
        <v>29167000</v>
      </c>
      <c r="Y79" s="2"/>
    </row>
    <row r="80" spans="1:25" ht="36.75" customHeight="1" x14ac:dyDescent="0.25">
      <c r="B80" s="314"/>
      <c r="C80" s="91">
        <v>80161500</v>
      </c>
      <c r="D80" s="98" t="s">
        <v>158</v>
      </c>
      <c r="E80" s="24" t="s">
        <v>17</v>
      </c>
      <c r="F80" s="93">
        <v>12</v>
      </c>
      <c r="G80" s="24" t="s">
        <v>18</v>
      </c>
      <c r="H80" s="23" t="s">
        <v>140</v>
      </c>
      <c r="I80" s="94"/>
      <c r="J80" s="95">
        <v>6300000</v>
      </c>
      <c r="K80" s="95">
        <f t="shared" si="7"/>
        <v>75600000</v>
      </c>
      <c r="L80" s="24" t="s">
        <v>20</v>
      </c>
      <c r="M80" s="24" t="s">
        <v>20</v>
      </c>
      <c r="N80" s="97" t="s">
        <v>141</v>
      </c>
      <c r="O80" s="61"/>
      <c r="P80" s="61"/>
      <c r="Q80" s="401"/>
      <c r="R80" s="395"/>
      <c r="S80" s="396"/>
      <c r="T80" s="397"/>
      <c r="U80" s="379"/>
      <c r="V80" s="263"/>
      <c r="W80" s="263"/>
      <c r="X80" s="398"/>
      <c r="Y80" s="2"/>
    </row>
    <row r="81" spans="1:25" ht="36.75" customHeight="1" x14ac:dyDescent="0.25">
      <c r="B81" s="314"/>
      <c r="C81" s="91">
        <v>93151605</v>
      </c>
      <c r="D81" s="98" t="s">
        <v>159</v>
      </c>
      <c r="E81" s="24" t="s">
        <v>160</v>
      </c>
      <c r="F81" s="93">
        <v>1</v>
      </c>
      <c r="G81" s="24" t="s">
        <v>139</v>
      </c>
      <c r="H81" s="23" t="s">
        <v>140</v>
      </c>
      <c r="I81" s="94"/>
      <c r="J81" s="95">
        <v>22000000</v>
      </c>
      <c r="K81" s="95">
        <f t="shared" si="7"/>
        <v>22000000</v>
      </c>
      <c r="L81" s="24" t="s">
        <v>20</v>
      </c>
      <c r="M81" s="24" t="s">
        <v>20</v>
      </c>
      <c r="N81" s="97" t="s">
        <v>141</v>
      </c>
      <c r="O81" s="61"/>
      <c r="P81" s="61"/>
      <c r="Q81" s="405" t="s">
        <v>405</v>
      </c>
      <c r="R81" s="395">
        <f>(960305+735398+735398+735398+500000+1373642+992090+767183+767183+1243310+1219630+500000)</f>
        <v>10529537</v>
      </c>
      <c r="S81" s="406" t="s">
        <v>406</v>
      </c>
      <c r="T81" s="397">
        <f>(960305+735398+735398+735398+500000+1373642+992090+767183+767183+1243310+1219630+500000)</f>
        <v>10529537</v>
      </c>
      <c r="U81" s="379" t="s">
        <v>407</v>
      </c>
      <c r="V81" s="353">
        <f>(2000000+500000)</f>
        <v>2500000</v>
      </c>
      <c r="W81" s="264" t="s">
        <v>408</v>
      </c>
      <c r="X81" s="354">
        <f>(2000000+500000)</f>
        <v>2500000</v>
      </c>
      <c r="Y81" s="2"/>
    </row>
    <row r="82" spans="1:25" ht="36.75" customHeight="1" x14ac:dyDescent="0.25">
      <c r="B82" s="314"/>
      <c r="C82" s="91">
        <v>72141000</v>
      </c>
      <c r="D82" s="98" t="s">
        <v>161</v>
      </c>
      <c r="E82" s="24" t="s">
        <v>162</v>
      </c>
      <c r="F82" s="93">
        <v>1</v>
      </c>
      <c r="G82" s="24" t="s">
        <v>150</v>
      </c>
      <c r="H82" s="23" t="s">
        <v>140</v>
      </c>
      <c r="I82" s="94"/>
      <c r="J82" s="95">
        <v>231480000</v>
      </c>
      <c r="K82" s="95">
        <f t="shared" si="7"/>
        <v>231480000</v>
      </c>
      <c r="L82" s="24" t="s">
        <v>20</v>
      </c>
      <c r="M82" s="24" t="s">
        <v>20</v>
      </c>
      <c r="N82" s="97" t="s">
        <v>141</v>
      </c>
      <c r="O82" s="61"/>
      <c r="P82" s="61"/>
      <c r="Q82" s="405"/>
      <c r="R82" s="395"/>
      <c r="S82" s="396"/>
      <c r="T82" s="397"/>
      <c r="U82" s="379"/>
      <c r="V82" s="263"/>
      <c r="W82" s="263"/>
      <c r="X82" s="398"/>
      <c r="Y82" s="2"/>
    </row>
    <row r="83" spans="1:25" ht="36.75" customHeight="1" x14ac:dyDescent="0.25">
      <c r="B83" s="314"/>
      <c r="C83" s="99" t="s">
        <v>163</v>
      </c>
      <c r="D83" s="100" t="s">
        <v>164</v>
      </c>
      <c r="E83" s="24" t="s">
        <v>157</v>
      </c>
      <c r="F83" s="24">
        <v>1</v>
      </c>
      <c r="G83" s="24" t="s">
        <v>165</v>
      </c>
      <c r="H83" s="24" t="s">
        <v>166</v>
      </c>
      <c r="I83" s="94"/>
      <c r="J83" s="95">
        <v>23000000</v>
      </c>
      <c r="K83" s="95">
        <f t="shared" si="7"/>
        <v>23000000</v>
      </c>
      <c r="L83" s="24" t="s">
        <v>20</v>
      </c>
      <c r="M83" s="24" t="s">
        <v>20</v>
      </c>
      <c r="N83" s="97" t="s">
        <v>141</v>
      </c>
      <c r="O83" s="61"/>
      <c r="P83" s="61"/>
      <c r="Q83" s="401"/>
      <c r="R83" s="407"/>
      <c r="S83" s="396"/>
      <c r="T83" s="408"/>
      <c r="U83" s="379"/>
      <c r="V83" s="263"/>
      <c r="W83" s="263"/>
      <c r="X83" s="398"/>
      <c r="Y83" s="2"/>
    </row>
    <row r="84" spans="1:25" ht="36.75" customHeight="1" x14ac:dyDescent="0.25">
      <c r="B84" s="314"/>
      <c r="C84" s="99" t="s">
        <v>167</v>
      </c>
      <c r="D84" s="101" t="s">
        <v>168</v>
      </c>
      <c r="E84" s="24" t="s">
        <v>169</v>
      </c>
      <c r="F84" s="24">
        <v>1</v>
      </c>
      <c r="G84" s="24" t="s">
        <v>170</v>
      </c>
      <c r="H84" s="24" t="s">
        <v>171</v>
      </c>
      <c r="I84" s="94"/>
      <c r="J84" s="95">
        <v>23000000</v>
      </c>
      <c r="K84" s="95">
        <f t="shared" si="7"/>
        <v>23000000</v>
      </c>
      <c r="L84" s="24" t="s">
        <v>20</v>
      </c>
      <c r="M84" s="24" t="s">
        <v>20</v>
      </c>
      <c r="N84" s="97" t="s">
        <v>141</v>
      </c>
      <c r="O84" s="61"/>
      <c r="P84" s="61"/>
      <c r="Q84" s="401"/>
      <c r="R84" s="409"/>
      <c r="S84" s="396"/>
      <c r="T84" s="410"/>
      <c r="U84" s="379"/>
      <c r="V84" s="263"/>
      <c r="W84" s="263"/>
      <c r="X84" s="398"/>
      <c r="Y84" s="2"/>
    </row>
    <row r="85" spans="1:25" ht="50.25" customHeight="1" x14ac:dyDescent="0.25">
      <c r="A85" s="1" t="s">
        <v>276</v>
      </c>
      <c r="B85" s="314"/>
      <c r="C85" s="91">
        <v>80161500</v>
      </c>
      <c r="D85" s="98" t="s">
        <v>172</v>
      </c>
      <c r="E85" s="24" t="s">
        <v>162</v>
      </c>
      <c r="F85" s="93">
        <v>1</v>
      </c>
      <c r="G85" s="24" t="s">
        <v>18</v>
      </c>
      <c r="H85" s="23" t="s">
        <v>140</v>
      </c>
      <c r="I85" s="94"/>
      <c r="J85" s="95">
        <f>(20000000+230000)</f>
        <v>20230000</v>
      </c>
      <c r="K85" s="95">
        <f t="shared" si="7"/>
        <v>20230000</v>
      </c>
      <c r="L85" s="24" t="s">
        <v>20</v>
      </c>
      <c r="M85" s="24" t="s">
        <v>20</v>
      </c>
      <c r="N85" s="97" t="s">
        <v>141</v>
      </c>
      <c r="O85" s="14"/>
      <c r="P85" s="14"/>
      <c r="Q85" s="400" t="s">
        <v>409</v>
      </c>
      <c r="R85" s="395">
        <v>20230000</v>
      </c>
      <c r="S85" s="396" t="s">
        <v>410</v>
      </c>
      <c r="T85" s="397">
        <v>20230000</v>
      </c>
      <c r="U85" s="379"/>
      <c r="V85" s="411"/>
      <c r="W85" s="263"/>
      <c r="X85" s="398"/>
      <c r="Y85" s="2"/>
    </row>
    <row r="86" spans="1:25" ht="47.25" customHeight="1" x14ac:dyDescent="0.25">
      <c r="A86" s="1" t="s">
        <v>270</v>
      </c>
      <c r="B86" s="314"/>
      <c r="C86" s="91">
        <v>95111600</v>
      </c>
      <c r="D86" s="98" t="s">
        <v>173</v>
      </c>
      <c r="E86" s="24" t="s">
        <v>149</v>
      </c>
      <c r="F86" s="93">
        <v>8</v>
      </c>
      <c r="G86" s="24" t="s">
        <v>145</v>
      </c>
      <c r="H86" s="23" t="s">
        <v>140</v>
      </c>
      <c r="I86" s="94"/>
      <c r="J86" s="95">
        <v>7877869953</v>
      </c>
      <c r="K86" s="95">
        <f>(17837392424+45185567199.58)</f>
        <v>63022959623.580002</v>
      </c>
      <c r="L86" s="24" t="s">
        <v>20</v>
      </c>
      <c r="M86" s="24" t="s">
        <v>20</v>
      </c>
      <c r="N86" s="97" t="s">
        <v>141</v>
      </c>
      <c r="O86" s="14"/>
      <c r="P86" s="14"/>
      <c r="Q86" s="405" t="s">
        <v>411</v>
      </c>
      <c r="R86" s="395">
        <f>(228326948+227422731)</f>
        <v>455749679</v>
      </c>
      <c r="S86" s="396" t="s">
        <v>412</v>
      </c>
      <c r="T86" s="397">
        <f>(228326948+227422731)</f>
        <v>455749679</v>
      </c>
      <c r="U86" s="402" t="s">
        <v>413</v>
      </c>
      <c r="V86" s="353">
        <v>41444388571</v>
      </c>
      <c r="W86" s="263" t="s">
        <v>414</v>
      </c>
      <c r="X86" s="354">
        <v>41444388571</v>
      </c>
      <c r="Y86" s="2"/>
    </row>
    <row r="87" spans="1:25" ht="36.75" customHeight="1" x14ac:dyDescent="0.25">
      <c r="B87" s="314"/>
      <c r="C87" s="91">
        <v>81101500</v>
      </c>
      <c r="D87" s="98" t="s">
        <v>174</v>
      </c>
      <c r="E87" s="24" t="s">
        <v>149</v>
      </c>
      <c r="F87" s="93">
        <v>8</v>
      </c>
      <c r="G87" s="24" t="s">
        <v>175</v>
      </c>
      <c r="H87" s="23" t="s">
        <v>140</v>
      </c>
      <c r="I87" s="94"/>
      <c r="J87" s="95">
        <v>167824929</v>
      </c>
      <c r="K87" s="95">
        <f t="shared" si="7"/>
        <v>1342599432</v>
      </c>
      <c r="L87" s="24" t="s">
        <v>20</v>
      </c>
      <c r="M87" s="24" t="s">
        <v>20</v>
      </c>
      <c r="N87" s="97" t="s">
        <v>141</v>
      </c>
      <c r="O87" s="63"/>
      <c r="P87" s="63"/>
      <c r="Q87" s="401"/>
      <c r="S87" s="396"/>
      <c r="T87" s="410"/>
      <c r="U87" s="402" t="s">
        <v>415</v>
      </c>
      <c r="V87" s="395">
        <v>2616272659</v>
      </c>
      <c r="W87" s="263" t="s">
        <v>416</v>
      </c>
      <c r="X87" s="403">
        <v>2616272659</v>
      </c>
      <c r="Y87" s="412" t="s">
        <v>417</v>
      </c>
    </row>
    <row r="88" spans="1:25" ht="62.25" customHeight="1" x14ac:dyDescent="0.25">
      <c r="B88" s="314"/>
      <c r="C88" s="91">
        <v>81101500</v>
      </c>
      <c r="D88" s="98" t="s">
        <v>176</v>
      </c>
      <c r="E88" s="24" t="s">
        <v>17</v>
      </c>
      <c r="F88" s="93">
        <v>1</v>
      </c>
      <c r="G88" s="24" t="s">
        <v>175</v>
      </c>
      <c r="H88" s="23" t="s">
        <v>140</v>
      </c>
      <c r="I88" s="94"/>
      <c r="J88" s="95">
        <v>313415000</v>
      </c>
      <c r="K88" s="95">
        <f t="shared" si="7"/>
        <v>313415000</v>
      </c>
      <c r="L88" s="24" t="s">
        <v>20</v>
      </c>
      <c r="M88" s="24" t="s">
        <v>20</v>
      </c>
      <c r="N88" s="97" t="s">
        <v>141</v>
      </c>
      <c r="O88" s="63"/>
      <c r="P88" s="63"/>
      <c r="Q88" s="401" t="s">
        <v>418</v>
      </c>
      <c r="R88" s="395">
        <v>313414013</v>
      </c>
      <c r="S88" s="396" t="s">
        <v>419</v>
      </c>
      <c r="T88" s="397">
        <v>313414013</v>
      </c>
      <c r="U88" s="379"/>
      <c r="V88" s="263"/>
      <c r="W88" s="263"/>
      <c r="X88" s="398"/>
      <c r="Y88" s="2"/>
    </row>
    <row r="89" spans="1:25" ht="31.5" customHeight="1" x14ac:dyDescent="0.25">
      <c r="B89" s="314"/>
      <c r="C89" s="91">
        <v>81101500</v>
      </c>
      <c r="D89" s="98" t="s">
        <v>177</v>
      </c>
      <c r="E89" s="24" t="s">
        <v>157</v>
      </c>
      <c r="F89" s="93">
        <v>10</v>
      </c>
      <c r="G89" s="24" t="s">
        <v>175</v>
      </c>
      <c r="H89" s="23" t="s">
        <v>140</v>
      </c>
      <c r="I89" s="94"/>
      <c r="J89" s="95">
        <v>309859154.80000001</v>
      </c>
      <c r="K89" s="95">
        <f t="shared" si="7"/>
        <v>3098591548</v>
      </c>
      <c r="L89" s="24" t="s">
        <v>20</v>
      </c>
      <c r="M89" s="24" t="s">
        <v>20</v>
      </c>
      <c r="N89" s="97" t="s">
        <v>141</v>
      </c>
      <c r="O89" s="63"/>
      <c r="P89" s="63"/>
      <c r="Q89" s="401"/>
      <c r="R89" s="409"/>
      <c r="S89" s="396"/>
      <c r="T89" s="410"/>
      <c r="U89" s="379"/>
      <c r="V89" s="263"/>
      <c r="W89" s="263"/>
      <c r="X89" s="398"/>
      <c r="Y89" s="14"/>
    </row>
    <row r="90" spans="1:25" ht="31.5" customHeight="1" thickBot="1" x14ac:dyDescent="0.3">
      <c r="B90" s="322"/>
      <c r="C90" s="102">
        <v>81101500</v>
      </c>
      <c r="D90" s="103" t="s">
        <v>178</v>
      </c>
      <c r="E90" s="35" t="s">
        <v>157</v>
      </c>
      <c r="F90" s="104">
        <v>5</v>
      </c>
      <c r="G90" s="35" t="s">
        <v>175</v>
      </c>
      <c r="H90" s="34" t="s">
        <v>140</v>
      </c>
      <c r="I90" s="105"/>
      <c r="J90" s="106">
        <v>79536032</v>
      </c>
      <c r="K90" s="106">
        <f t="shared" si="7"/>
        <v>397680160</v>
      </c>
      <c r="L90" s="35" t="s">
        <v>20</v>
      </c>
      <c r="M90" s="35" t="s">
        <v>20</v>
      </c>
      <c r="N90" s="107" t="s">
        <v>141</v>
      </c>
      <c r="O90" s="63"/>
      <c r="P90" s="63"/>
      <c r="Q90" s="413"/>
      <c r="R90" s="414"/>
      <c r="S90" s="415"/>
      <c r="T90" s="416"/>
      <c r="U90" s="383"/>
      <c r="V90" s="234"/>
      <c r="W90" s="362"/>
      <c r="X90" s="417"/>
      <c r="Y90" s="63"/>
    </row>
    <row r="91" spans="1:25" ht="31.5" customHeight="1" thickBot="1" x14ac:dyDescent="0.3">
      <c r="B91" s="63"/>
      <c r="C91" s="108"/>
      <c r="D91" s="109"/>
      <c r="E91" s="61"/>
      <c r="F91" s="110"/>
      <c r="G91" s="63"/>
      <c r="H91" s="63"/>
      <c r="I91" s="86"/>
      <c r="J91" s="86"/>
      <c r="K91" s="111">
        <f>SUM(K67:K90)</f>
        <v>71185567199.580002</v>
      </c>
      <c r="L91" s="61"/>
      <c r="M91" s="61"/>
      <c r="N91" s="112"/>
      <c r="O91" s="63"/>
      <c r="P91" s="63"/>
      <c r="Q91" s="372"/>
      <c r="R91" s="418">
        <f>SUM(R67:R90)</f>
        <v>2636240285</v>
      </c>
      <c r="S91" s="368"/>
      <c r="T91" s="418">
        <f>SUM(T67:T90)</f>
        <v>2636240285</v>
      </c>
      <c r="U91" s="14"/>
      <c r="V91" s="419">
        <f>SUM(V67:V90)</f>
        <v>44381515991</v>
      </c>
      <c r="W91" s="79"/>
      <c r="X91" s="369">
        <f>SUM(X67:X90)</f>
        <v>44381515991</v>
      </c>
      <c r="Y91" s="420" t="s">
        <v>420</v>
      </c>
    </row>
    <row r="92" spans="1:25" ht="31.5" customHeight="1" thickBot="1" x14ac:dyDescent="0.3">
      <c r="B92" s="63"/>
      <c r="C92" s="108"/>
      <c r="D92" s="109"/>
      <c r="E92" s="61"/>
      <c r="F92" s="110"/>
      <c r="G92" s="63"/>
      <c r="H92" s="63"/>
      <c r="I92" s="86"/>
      <c r="J92" s="86"/>
      <c r="K92" s="86"/>
      <c r="L92" s="86"/>
      <c r="M92" s="61"/>
      <c r="N92" s="112"/>
      <c r="O92" s="63"/>
      <c r="P92" s="63"/>
      <c r="Q92" s="372"/>
      <c r="R92" s="372"/>
      <c r="S92" s="368"/>
      <c r="T92" s="372"/>
      <c r="U92" s="14"/>
    </row>
    <row r="93" spans="1:25" ht="31.5" customHeight="1" thickBot="1" x14ac:dyDescent="0.3">
      <c r="B93" s="323" t="s">
        <v>166</v>
      </c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5"/>
      <c r="O93" s="14"/>
      <c r="P93" s="14"/>
      <c r="Q93" s="372"/>
      <c r="R93" s="372"/>
      <c r="S93" s="368"/>
      <c r="T93" s="372"/>
      <c r="U93" s="14"/>
      <c r="V93" s="2"/>
      <c r="W93" s="2"/>
      <c r="X93" s="2"/>
      <c r="Y93" s="2"/>
    </row>
    <row r="94" spans="1:25" ht="45" x14ac:dyDescent="0.25">
      <c r="B94" s="315" t="s">
        <v>179</v>
      </c>
      <c r="C94" s="43" t="s">
        <v>180</v>
      </c>
      <c r="D94" s="113" t="s">
        <v>181</v>
      </c>
      <c r="E94" s="20" t="s">
        <v>182</v>
      </c>
      <c r="F94" s="114">
        <v>1</v>
      </c>
      <c r="G94" s="20" t="s">
        <v>150</v>
      </c>
      <c r="H94" s="20" t="s">
        <v>166</v>
      </c>
      <c r="I94" s="115">
        <v>33000000</v>
      </c>
      <c r="J94" s="116">
        <f>(70000000+5000000+14000000+10000000+20000000)</f>
        <v>119000000</v>
      </c>
      <c r="K94" s="116">
        <f>F94*J94</f>
        <v>119000000</v>
      </c>
      <c r="L94" s="20" t="s">
        <v>20</v>
      </c>
      <c r="M94" s="20" t="s">
        <v>20</v>
      </c>
      <c r="N94" s="117" t="s">
        <v>183</v>
      </c>
      <c r="O94" s="14"/>
      <c r="P94" s="14"/>
      <c r="Q94" s="421"/>
      <c r="R94" s="422"/>
      <c r="S94" s="390"/>
      <c r="T94" s="423"/>
      <c r="U94" s="392"/>
      <c r="V94" s="347"/>
      <c r="W94" s="347"/>
      <c r="X94" s="393"/>
      <c r="Y94" s="2"/>
    </row>
    <row r="95" spans="1:25" ht="31.5" customHeight="1" x14ac:dyDescent="0.25">
      <c r="B95" s="317"/>
      <c r="C95" s="22">
        <v>43233004</v>
      </c>
      <c r="D95" s="118" t="s">
        <v>184</v>
      </c>
      <c r="E95" s="24" t="s">
        <v>162</v>
      </c>
      <c r="F95" s="119">
        <v>1</v>
      </c>
      <c r="G95" s="24" t="s">
        <v>170</v>
      </c>
      <c r="H95" s="24" t="s">
        <v>166</v>
      </c>
      <c r="I95" s="120"/>
      <c r="J95" s="121">
        <v>7000000</v>
      </c>
      <c r="K95" s="121">
        <v>7000000</v>
      </c>
      <c r="L95" s="24" t="s">
        <v>20</v>
      </c>
      <c r="M95" s="24" t="s">
        <v>20</v>
      </c>
      <c r="N95" s="27" t="s">
        <v>183</v>
      </c>
      <c r="O95" s="14"/>
      <c r="P95" s="14"/>
      <c r="Q95" s="401"/>
      <c r="R95" s="395"/>
      <c r="S95" s="396"/>
      <c r="T95" s="397"/>
      <c r="U95" s="379"/>
      <c r="V95" s="263"/>
      <c r="W95" s="263"/>
      <c r="X95" s="398"/>
      <c r="Y95" s="2"/>
    </row>
    <row r="96" spans="1:25" ht="22.5" x14ac:dyDescent="0.25">
      <c r="B96" s="317"/>
      <c r="C96" s="22">
        <v>43211700</v>
      </c>
      <c r="D96" s="23" t="s">
        <v>185</v>
      </c>
      <c r="E96" s="24" t="s">
        <v>162</v>
      </c>
      <c r="F96" s="24">
        <v>1</v>
      </c>
      <c r="G96" s="24" t="s">
        <v>170</v>
      </c>
      <c r="H96" s="24" t="s">
        <v>166</v>
      </c>
      <c r="I96" s="120">
        <v>4400000</v>
      </c>
      <c r="J96" s="121">
        <v>10000000</v>
      </c>
      <c r="K96" s="121">
        <f>F96*J96</f>
        <v>10000000</v>
      </c>
      <c r="L96" s="24" t="s">
        <v>20</v>
      </c>
      <c r="M96" s="24" t="s">
        <v>20</v>
      </c>
      <c r="N96" s="27" t="s">
        <v>183</v>
      </c>
      <c r="Q96" s="401"/>
      <c r="R96" s="395"/>
      <c r="S96" s="396"/>
      <c r="T96" s="397"/>
      <c r="U96" s="379"/>
      <c r="V96" s="263"/>
      <c r="W96" s="263"/>
      <c r="X96" s="398"/>
      <c r="Y96" s="2"/>
    </row>
    <row r="97" spans="2:25" ht="34.5" customHeight="1" thickBot="1" x14ac:dyDescent="0.3">
      <c r="B97" s="316"/>
      <c r="C97" s="33">
        <v>40101701</v>
      </c>
      <c r="D97" s="34" t="s">
        <v>186</v>
      </c>
      <c r="E97" s="35" t="s">
        <v>187</v>
      </c>
      <c r="F97" s="35">
        <v>1</v>
      </c>
      <c r="G97" s="35" t="s">
        <v>188</v>
      </c>
      <c r="H97" s="35" t="s">
        <v>166</v>
      </c>
      <c r="I97" s="122"/>
      <c r="J97" s="123">
        <f>(20000000-14000000)</f>
        <v>6000000</v>
      </c>
      <c r="K97" s="123">
        <f>F97*J97</f>
        <v>6000000</v>
      </c>
      <c r="L97" s="35" t="s">
        <v>20</v>
      </c>
      <c r="M97" s="35" t="s">
        <v>20</v>
      </c>
      <c r="N97" s="38" t="s">
        <v>183</v>
      </c>
      <c r="Q97" s="424"/>
      <c r="R97" s="395"/>
      <c r="S97" s="396"/>
      <c r="T97" s="397"/>
      <c r="U97" s="379"/>
      <c r="V97" s="263"/>
      <c r="W97" s="263"/>
      <c r="X97" s="398"/>
      <c r="Y97" s="2"/>
    </row>
    <row r="98" spans="2:25" ht="34.5" customHeight="1" x14ac:dyDescent="0.25">
      <c r="B98" s="317"/>
      <c r="C98" s="22">
        <v>39101600</v>
      </c>
      <c r="D98" s="23" t="s">
        <v>191</v>
      </c>
      <c r="E98" s="24" t="s">
        <v>135</v>
      </c>
      <c r="F98" s="24">
        <v>1</v>
      </c>
      <c r="G98" s="24" t="s">
        <v>188</v>
      </c>
      <c r="H98" s="24" t="s">
        <v>166</v>
      </c>
      <c r="I98" s="120"/>
      <c r="J98" s="121">
        <f>(20000000-10000000)</f>
        <v>10000000</v>
      </c>
      <c r="K98" s="121">
        <v>10000000</v>
      </c>
      <c r="L98" s="24" t="s">
        <v>20</v>
      </c>
      <c r="M98" s="24" t="s">
        <v>20</v>
      </c>
      <c r="N98" s="27" t="s">
        <v>190</v>
      </c>
      <c r="O98" s="1"/>
      <c r="P98" s="1"/>
      <c r="Q98" s="401"/>
      <c r="R98" s="395"/>
      <c r="S98" s="396"/>
      <c r="T98" s="397"/>
      <c r="U98" s="379"/>
      <c r="V98" s="263"/>
      <c r="W98" s="263"/>
      <c r="X98" s="398"/>
      <c r="Y98" s="2"/>
    </row>
    <row r="99" spans="2:25" ht="45.75" thickBot="1" x14ac:dyDescent="0.3">
      <c r="B99" s="316"/>
      <c r="C99" s="33" t="s">
        <v>163</v>
      </c>
      <c r="D99" s="125" t="s">
        <v>164</v>
      </c>
      <c r="E99" s="35" t="s">
        <v>187</v>
      </c>
      <c r="F99" s="35">
        <v>1</v>
      </c>
      <c r="G99" s="35" t="s">
        <v>150</v>
      </c>
      <c r="H99" s="35" t="s">
        <v>166</v>
      </c>
      <c r="I99" s="122"/>
      <c r="J99" s="123">
        <f>(40000000-20000000)</f>
        <v>20000000</v>
      </c>
      <c r="K99" s="123">
        <f>F99*J99</f>
        <v>20000000</v>
      </c>
      <c r="L99" s="35" t="s">
        <v>20</v>
      </c>
      <c r="M99" s="35" t="s">
        <v>20</v>
      </c>
      <c r="N99" s="38" t="s">
        <v>190</v>
      </c>
      <c r="O99" s="1"/>
      <c r="P99" s="1"/>
      <c r="Q99" s="425"/>
      <c r="R99" s="414"/>
      <c r="S99" s="415"/>
      <c r="T99" s="426"/>
      <c r="U99" s="383"/>
      <c r="V99" s="427"/>
      <c r="W99" s="427"/>
      <c r="X99" s="428"/>
      <c r="Y99" s="14"/>
    </row>
    <row r="100" spans="2:25" ht="15.75" thickBot="1" x14ac:dyDescent="0.3">
      <c r="B100" s="63"/>
      <c r="C100" s="59"/>
      <c r="D100" s="126"/>
      <c r="E100" s="61"/>
      <c r="F100" s="61"/>
      <c r="G100" s="63"/>
      <c r="H100" s="61"/>
      <c r="I100" s="112"/>
      <c r="J100" s="127"/>
      <c r="K100" s="128">
        <f>SUM(K94:K99)</f>
        <v>172000000</v>
      </c>
      <c r="L100" s="61"/>
      <c r="M100" s="61"/>
      <c r="N100" s="63"/>
      <c r="O100" s="1"/>
      <c r="P100" s="1"/>
      <c r="Q100" s="429"/>
      <c r="R100" s="430">
        <v>0</v>
      </c>
      <c r="S100" s="431"/>
      <c r="T100" s="430">
        <v>0</v>
      </c>
      <c r="U100" s="14"/>
      <c r="V100" s="430">
        <v>0</v>
      </c>
      <c r="W100" s="432"/>
      <c r="X100" s="430">
        <v>0</v>
      </c>
      <c r="Y100" s="14"/>
    </row>
    <row r="101" spans="2:25" ht="15.75" thickBot="1" x14ac:dyDescent="0.3">
      <c r="B101" s="63"/>
      <c r="C101" s="59"/>
      <c r="D101" s="126"/>
      <c r="E101" s="61"/>
      <c r="F101" s="61"/>
      <c r="G101" s="63"/>
      <c r="H101" s="61"/>
      <c r="I101" s="112"/>
      <c r="J101" s="127"/>
      <c r="K101" s="129"/>
      <c r="L101" s="61"/>
      <c r="M101" s="61"/>
      <c r="N101" s="63"/>
      <c r="O101" s="1"/>
      <c r="P101" s="1"/>
      <c r="Q101" s="372"/>
      <c r="R101" s="370"/>
      <c r="S101" s="368"/>
      <c r="T101" s="370"/>
      <c r="U101" s="14"/>
      <c r="V101" s="433"/>
      <c r="W101" s="14"/>
      <c r="X101" s="14"/>
      <c r="Y101" s="14"/>
    </row>
    <row r="102" spans="2:25" ht="30" customHeight="1" thickBot="1" x14ac:dyDescent="0.3">
      <c r="B102" s="323" t="s">
        <v>192</v>
      </c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7"/>
      <c r="O102" s="1"/>
      <c r="P102" s="1"/>
      <c r="Q102" s="372"/>
      <c r="R102" s="372"/>
      <c r="S102" s="368"/>
      <c r="T102" s="372"/>
      <c r="U102" s="14"/>
      <c r="V102" s="14"/>
      <c r="W102" s="14"/>
      <c r="X102" s="14"/>
      <c r="Y102" s="14"/>
    </row>
    <row r="103" spans="2:25" ht="84.75" customHeight="1" x14ac:dyDescent="0.25">
      <c r="B103" s="315" t="s">
        <v>179</v>
      </c>
      <c r="C103" s="43">
        <v>81112501</v>
      </c>
      <c r="D103" s="50" t="s">
        <v>193</v>
      </c>
      <c r="E103" s="20" t="s">
        <v>194</v>
      </c>
      <c r="F103" s="20">
        <v>1</v>
      </c>
      <c r="G103" s="20" t="s">
        <v>170</v>
      </c>
      <c r="H103" s="20" t="s">
        <v>171</v>
      </c>
      <c r="I103" s="130">
        <v>4400000</v>
      </c>
      <c r="J103" s="130">
        <v>12000000</v>
      </c>
      <c r="K103" s="130">
        <f>F103*J103</f>
        <v>12000000</v>
      </c>
      <c r="L103" s="20" t="s">
        <v>20</v>
      </c>
      <c r="M103" s="20" t="s">
        <v>20</v>
      </c>
      <c r="N103" s="46" t="s">
        <v>195</v>
      </c>
      <c r="O103" s="1"/>
      <c r="P103" s="1"/>
      <c r="Q103" s="421"/>
      <c r="R103" s="422"/>
      <c r="S103" s="390"/>
      <c r="T103" s="423"/>
      <c r="U103" s="392"/>
      <c r="V103" s="346"/>
      <c r="W103" s="347"/>
      <c r="X103" s="348"/>
      <c r="Y103" s="2"/>
    </row>
    <row r="104" spans="2:25" ht="30" customHeight="1" thickBot="1" x14ac:dyDescent="0.3">
      <c r="B104" s="316"/>
      <c r="C104" s="39">
        <v>81112501</v>
      </c>
      <c r="D104" s="40" t="s">
        <v>196</v>
      </c>
      <c r="E104" s="41" t="s">
        <v>197</v>
      </c>
      <c r="F104" s="41">
        <v>1</v>
      </c>
      <c r="G104" s="41" t="s">
        <v>170</v>
      </c>
      <c r="H104" s="41" t="s">
        <v>171</v>
      </c>
      <c r="I104" s="131">
        <v>4400000</v>
      </c>
      <c r="J104" s="131">
        <v>10000000</v>
      </c>
      <c r="K104" s="131">
        <v>10000000</v>
      </c>
      <c r="L104" s="41" t="s">
        <v>20</v>
      </c>
      <c r="M104" s="41" t="s">
        <v>20</v>
      </c>
      <c r="N104" s="49" t="s">
        <v>195</v>
      </c>
      <c r="O104" s="1"/>
      <c r="P104" s="1"/>
      <c r="Q104" s="394"/>
      <c r="R104" s="395"/>
      <c r="S104" s="396"/>
      <c r="T104" s="397"/>
      <c r="U104" s="379" t="s">
        <v>421</v>
      </c>
      <c r="V104" s="353">
        <v>8643115</v>
      </c>
      <c r="W104" s="263" t="s">
        <v>422</v>
      </c>
      <c r="X104" s="354">
        <v>8643115</v>
      </c>
      <c r="Y104" s="2"/>
    </row>
    <row r="105" spans="2:25" ht="30.75" customHeight="1" x14ac:dyDescent="0.25">
      <c r="B105" s="315" t="s">
        <v>189</v>
      </c>
      <c r="C105" s="43" t="s">
        <v>269</v>
      </c>
      <c r="D105" s="44" t="s">
        <v>198</v>
      </c>
      <c r="E105" s="20" t="s">
        <v>162</v>
      </c>
      <c r="F105" s="20">
        <v>1</v>
      </c>
      <c r="G105" s="20" t="s">
        <v>170</v>
      </c>
      <c r="H105" s="20" t="s">
        <v>171</v>
      </c>
      <c r="I105" s="130">
        <v>8800000</v>
      </c>
      <c r="J105" s="130">
        <v>20000000</v>
      </c>
      <c r="K105" s="130">
        <v>20000000</v>
      </c>
      <c r="L105" s="20" t="s">
        <v>20</v>
      </c>
      <c r="M105" s="20" t="s">
        <v>20</v>
      </c>
      <c r="N105" s="46" t="s">
        <v>24</v>
      </c>
      <c r="O105" s="1"/>
      <c r="P105" s="1"/>
      <c r="Q105" s="394" t="s">
        <v>423</v>
      </c>
      <c r="R105" s="395">
        <v>12897760</v>
      </c>
      <c r="S105" s="396" t="s">
        <v>424</v>
      </c>
      <c r="T105" s="397">
        <v>12897760</v>
      </c>
      <c r="U105" s="379"/>
      <c r="V105" s="353"/>
      <c r="W105" s="263"/>
      <c r="X105" s="354"/>
      <c r="Y105" s="2"/>
    </row>
    <row r="106" spans="2:25" ht="25.5" customHeight="1" x14ac:dyDescent="0.25">
      <c r="B106" s="317"/>
      <c r="C106" s="22" t="s">
        <v>199</v>
      </c>
      <c r="D106" s="23" t="s">
        <v>200</v>
      </c>
      <c r="E106" s="24" t="s">
        <v>209</v>
      </c>
      <c r="F106" s="24">
        <v>1</v>
      </c>
      <c r="G106" s="24" t="s">
        <v>150</v>
      </c>
      <c r="H106" s="24" t="s">
        <v>171</v>
      </c>
      <c r="I106" s="132">
        <v>29700000</v>
      </c>
      <c r="J106" s="132">
        <v>42000000</v>
      </c>
      <c r="K106" s="132">
        <f>F106*J106</f>
        <v>42000000</v>
      </c>
      <c r="L106" s="24" t="s">
        <v>20</v>
      </c>
      <c r="M106" s="24" t="s">
        <v>20</v>
      </c>
      <c r="N106" s="27" t="s">
        <v>24</v>
      </c>
      <c r="O106" s="1"/>
      <c r="P106" s="1"/>
      <c r="Q106" s="394"/>
      <c r="R106" s="395"/>
      <c r="S106" s="396"/>
      <c r="T106" s="397"/>
      <c r="U106" s="379"/>
      <c r="V106" s="353"/>
      <c r="W106" s="263"/>
      <c r="X106" s="354"/>
      <c r="Y106" s="2"/>
    </row>
    <row r="107" spans="2:25" ht="24.75" customHeight="1" x14ac:dyDescent="0.25">
      <c r="B107" s="317"/>
      <c r="C107" s="22">
        <v>15101506</v>
      </c>
      <c r="D107" s="23" t="s">
        <v>201</v>
      </c>
      <c r="E107" s="24" t="s">
        <v>53</v>
      </c>
      <c r="F107" s="24">
        <v>1</v>
      </c>
      <c r="G107" s="24" t="s">
        <v>150</v>
      </c>
      <c r="H107" s="24" t="s">
        <v>171</v>
      </c>
      <c r="I107" s="132">
        <v>33000000</v>
      </c>
      <c r="J107" s="132">
        <v>47000000</v>
      </c>
      <c r="K107" s="132">
        <f>F107*J107</f>
        <v>47000000</v>
      </c>
      <c r="L107" s="24" t="s">
        <v>20</v>
      </c>
      <c r="M107" s="24" t="s">
        <v>20</v>
      </c>
      <c r="N107" s="27" t="s">
        <v>202</v>
      </c>
      <c r="O107" s="1"/>
      <c r="P107" s="1"/>
      <c r="Q107" s="394" t="s">
        <v>425</v>
      </c>
      <c r="R107" s="395">
        <f>(4850000+25000000)</f>
        <v>29850000</v>
      </c>
      <c r="S107" s="396" t="s">
        <v>426</v>
      </c>
      <c r="T107" s="397">
        <f>(4850000+25000000)</f>
        <v>29850000</v>
      </c>
      <c r="U107" s="379"/>
      <c r="V107" s="353"/>
      <c r="W107" s="263"/>
      <c r="X107" s="354"/>
      <c r="Y107" s="2"/>
    </row>
    <row r="108" spans="2:25" ht="47.25" customHeight="1" thickBot="1" x14ac:dyDescent="0.3">
      <c r="B108" s="316"/>
      <c r="C108" s="33" t="s">
        <v>167</v>
      </c>
      <c r="D108" s="34" t="s">
        <v>203</v>
      </c>
      <c r="E108" s="35" t="s">
        <v>162</v>
      </c>
      <c r="F108" s="35">
        <v>1</v>
      </c>
      <c r="G108" s="35" t="s">
        <v>170</v>
      </c>
      <c r="H108" s="35" t="s">
        <v>171</v>
      </c>
      <c r="I108" s="133">
        <v>11000000</v>
      </c>
      <c r="J108" s="133">
        <v>20000000</v>
      </c>
      <c r="K108" s="133">
        <f>F108*J108</f>
        <v>20000000</v>
      </c>
      <c r="L108" s="35" t="s">
        <v>20</v>
      </c>
      <c r="M108" s="35" t="s">
        <v>20</v>
      </c>
      <c r="N108" s="77" t="s">
        <v>24</v>
      </c>
      <c r="O108" s="1"/>
      <c r="P108" s="1"/>
      <c r="Q108" s="425" t="s">
        <v>427</v>
      </c>
      <c r="R108" s="414">
        <v>10315015</v>
      </c>
      <c r="S108" s="415" t="s">
        <v>428</v>
      </c>
      <c r="T108" s="426">
        <v>10315015</v>
      </c>
      <c r="U108" s="383"/>
      <c r="V108" s="361"/>
      <c r="W108" s="427"/>
      <c r="X108" s="363"/>
      <c r="Y108" s="14"/>
    </row>
    <row r="109" spans="2:25" ht="33" customHeight="1" thickBot="1" x14ac:dyDescent="0.3">
      <c r="B109" s="63"/>
      <c r="C109" s="59"/>
      <c r="D109" s="87"/>
      <c r="E109" s="61"/>
      <c r="F109" s="61"/>
      <c r="G109" s="63"/>
      <c r="H109" s="63"/>
      <c r="I109" s="134">
        <f>SUM(I103:I108)</f>
        <v>91300000</v>
      </c>
      <c r="J109" s="135"/>
      <c r="K109" s="135">
        <f>SUM(K103:K108)</f>
        <v>151000000</v>
      </c>
      <c r="L109" s="61"/>
      <c r="M109" s="61"/>
      <c r="N109" s="84"/>
      <c r="O109" s="1"/>
      <c r="P109" s="1"/>
      <c r="Q109" s="429"/>
      <c r="R109" s="434">
        <f>SUM(R103:R108)</f>
        <v>53062775</v>
      </c>
      <c r="S109" s="368"/>
      <c r="T109" s="434">
        <f>SUM(T103:T108)</f>
        <v>53062775</v>
      </c>
      <c r="U109" s="14"/>
      <c r="V109" s="435">
        <f>SUM(V103:V108)</f>
        <v>8643115</v>
      </c>
      <c r="W109" s="14"/>
      <c r="X109" s="436">
        <f>SUM(X103:X108)</f>
        <v>8643115</v>
      </c>
      <c r="Y109" s="432"/>
    </row>
    <row r="110" spans="2:25" ht="33" customHeight="1" thickBot="1" x14ac:dyDescent="0.3">
      <c r="B110" s="136"/>
      <c r="C110" s="59"/>
      <c r="D110" s="87"/>
      <c r="E110" s="61"/>
      <c r="F110" s="61"/>
      <c r="G110" s="63"/>
      <c r="H110" s="63"/>
      <c r="I110" s="134"/>
      <c r="J110" s="137"/>
      <c r="K110" s="137"/>
      <c r="L110" s="61"/>
      <c r="M110" s="61"/>
      <c r="N110" s="87"/>
      <c r="O110" s="1"/>
      <c r="P110" s="1"/>
      <c r="Q110" s="429"/>
      <c r="R110" s="370"/>
      <c r="S110" s="368"/>
      <c r="T110" s="370"/>
      <c r="U110" s="14"/>
      <c r="V110" s="433"/>
      <c r="W110" s="79"/>
      <c r="X110" s="433"/>
      <c r="Y110" s="433"/>
    </row>
    <row r="111" spans="2:25" ht="33" customHeight="1" thickBot="1" x14ac:dyDescent="0.3">
      <c r="B111" s="323" t="s">
        <v>204</v>
      </c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5"/>
      <c r="O111" s="1"/>
      <c r="P111" s="1"/>
      <c r="Q111" s="429"/>
      <c r="R111" s="370"/>
      <c r="S111" s="368"/>
      <c r="T111" s="370"/>
      <c r="U111" s="14"/>
      <c r="V111" s="75"/>
      <c r="W111" s="433"/>
      <c r="X111" s="14"/>
      <c r="Y111" s="14"/>
    </row>
    <row r="112" spans="2:25" ht="107.25" customHeight="1" x14ac:dyDescent="0.25">
      <c r="B112" s="138"/>
      <c r="C112" s="43">
        <v>81112210</v>
      </c>
      <c r="D112" s="44" t="s">
        <v>205</v>
      </c>
      <c r="E112" s="20" t="s">
        <v>53</v>
      </c>
      <c r="F112" s="20">
        <v>1</v>
      </c>
      <c r="G112" s="44" t="s">
        <v>18</v>
      </c>
      <c r="H112" s="20" t="s">
        <v>206</v>
      </c>
      <c r="I112" s="139">
        <v>55000000</v>
      </c>
      <c r="J112" s="139">
        <v>60000000</v>
      </c>
      <c r="K112" s="139">
        <f>F112*J112</f>
        <v>60000000</v>
      </c>
      <c r="L112" s="20" t="s">
        <v>20</v>
      </c>
      <c r="M112" s="20" t="s">
        <v>20</v>
      </c>
      <c r="N112" s="46" t="s">
        <v>195</v>
      </c>
      <c r="O112" s="1"/>
      <c r="P112" s="1"/>
      <c r="Q112" s="388" t="s">
        <v>429</v>
      </c>
      <c r="R112" s="389">
        <v>60000000</v>
      </c>
      <c r="S112" s="390" t="s">
        <v>430</v>
      </c>
      <c r="T112" s="437">
        <v>60000000</v>
      </c>
      <c r="U112" s="438"/>
      <c r="V112" s="346"/>
      <c r="W112" s="347"/>
      <c r="X112" s="348"/>
      <c r="Y112" s="14"/>
    </row>
    <row r="113" spans="1:25" ht="93" customHeight="1" x14ac:dyDescent="0.25">
      <c r="B113" s="140"/>
      <c r="C113" s="22">
        <v>81112209</v>
      </c>
      <c r="D113" s="23" t="s">
        <v>207</v>
      </c>
      <c r="E113" s="24" t="s">
        <v>187</v>
      </c>
      <c r="F113" s="24">
        <v>1</v>
      </c>
      <c r="G113" s="23" t="s">
        <v>18</v>
      </c>
      <c r="H113" s="24" t="s">
        <v>206</v>
      </c>
      <c r="I113" s="71">
        <v>5500000</v>
      </c>
      <c r="J113" s="71">
        <v>20000000</v>
      </c>
      <c r="K113" s="141">
        <f t="shared" ref="K113:K125" si="8">F113*J113</f>
        <v>20000000</v>
      </c>
      <c r="L113" s="24" t="s">
        <v>20</v>
      </c>
      <c r="M113" s="24" t="s">
        <v>20</v>
      </c>
      <c r="N113" s="27" t="s">
        <v>195</v>
      </c>
      <c r="O113" s="1"/>
      <c r="P113" s="1"/>
      <c r="Q113" s="394"/>
      <c r="R113" s="395"/>
      <c r="S113" s="396"/>
      <c r="T113" s="403"/>
      <c r="U113" s="439" t="s">
        <v>431</v>
      </c>
      <c r="V113" s="353">
        <v>21600000</v>
      </c>
      <c r="W113" s="263" t="s">
        <v>432</v>
      </c>
      <c r="X113" s="354">
        <v>21600000</v>
      </c>
      <c r="Y113" s="2"/>
    </row>
    <row r="114" spans="1:25" ht="24" customHeight="1" x14ac:dyDescent="0.25">
      <c r="B114" s="140"/>
      <c r="C114" s="22">
        <v>81112303</v>
      </c>
      <c r="D114" s="31" t="s">
        <v>267</v>
      </c>
      <c r="E114" s="24" t="s">
        <v>53</v>
      </c>
      <c r="F114" s="24">
        <v>1</v>
      </c>
      <c r="G114" s="23" t="s">
        <v>150</v>
      </c>
      <c r="H114" s="24" t="s">
        <v>206</v>
      </c>
      <c r="I114" s="141">
        <v>22000000</v>
      </c>
      <c r="J114" s="141">
        <v>40000000</v>
      </c>
      <c r="K114" s="141">
        <f t="shared" si="8"/>
        <v>40000000</v>
      </c>
      <c r="L114" s="24" t="s">
        <v>20</v>
      </c>
      <c r="M114" s="24" t="s">
        <v>20</v>
      </c>
      <c r="N114" s="27" t="s">
        <v>195</v>
      </c>
      <c r="O114" s="1"/>
      <c r="P114" s="1"/>
      <c r="Q114" s="394" t="s">
        <v>433</v>
      </c>
      <c r="R114" s="395">
        <v>1889244</v>
      </c>
      <c r="S114" s="396" t="s">
        <v>434</v>
      </c>
      <c r="T114" s="403">
        <v>1889244</v>
      </c>
      <c r="U114" s="440"/>
      <c r="V114" s="353"/>
      <c r="W114" s="263"/>
      <c r="X114" s="354"/>
      <c r="Y114" s="2"/>
    </row>
    <row r="115" spans="1:25" ht="33.75" x14ac:dyDescent="0.25">
      <c r="B115" s="140"/>
      <c r="C115" s="22">
        <v>81112205</v>
      </c>
      <c r="D115" s="23" t="s">
        <v>208</v>
      </c>
      <c r="E115" s="24" t="s">
        <v>209</v>
      </c>
      <c r="F115" s="24">
        <v>1</v>
      </c>
      <c r="G115" s="23" t="s">
        <v>18</v>
      </c>
      <c r="H115" s="23" t="s">
        <v>206</v>
      </c>
      <c r="I115" s="141"/>
      <c r="J115" s="141">
        <v>4000000</v>
      </c>
      <c r="K115" s="141">
        <f t="shared" si="8"/>
        <v>4000000</v>
      </c>
      <c r="L115" s="24" t="s">
        <v>20</v>
      </c>
      <c r="M115" s="24" t="s">
        <v>20</v>
      </c>
      <c r="N115" s="27" t="s">
        <v>195</v>
      </c>
      <c r="O115" s="1"/>
      <c r="P115" s="1"/>
      <c r="Q115" s="441"/>
      <c r="R115" s="4"/>
      <c r="S115" s="4"/>
      <c r="T115" s="358"/>
      <c r="U115" s="440"/>
      <c r="V115" s="353"/>
      <c r="W115" s="263"/>
      <c r="X115" s="354"/>
      <c r="Y115" s="2"/>
    </row>
    <row r="116" spans="1:25" ht="45" x14ac:dyDescent="0.25">
      <c r="B116" s="140"/>
      <c r="C116" s="22" t="s">
        <v>210</v>
      </c>
      <c r="D116" s="118" t="s">
        <v>211</v>
      </c>
      <c r="E116" s="24" t="s">
        <v>149</v>
      </c>
      <c r="F116" s="119">
        <v>1</v>
      </c>
      <c r="G116" s="23" t="s">
        <v>150</v>
      </c>
      <c r="H116" s="24" t="s">
        <v>204</v>
      </c>
      <c r="I116" s="120">
        <v>200000</v>
      </c>
      <c r="J116" s="121">
        <v>95000000</v>
      </c>
      <c r="K116" s="141">
        <f t="shared" si="8"/>
        <v>95000000</v>
      </c>
      <c r="L116" s="24" t="s">
        <v>20</v>
      </c>
      <c r="M116" s="24" t="s">
        <v>20</v>
      </c>
      <c r="N116" s="27" t="s">
        <v>212</v>
      </c>
      <c r="O116" s="1"/>
      <c r="P116" s="1"/>
      <c r="Q116" s="394" t="s">
        <v>435</v>
      </c>
      <c r="R116" s="395">
        <f>(4750000+35000)</f>
        <v>4785000</v>
      </c>
      <c r="S116" s="396" t="s">
        <v>436</v>
      </c>
      <c r="T116" s="403">
        <f>(4750000+35000)</f>
        <v>4785000</v>
      </c>
      <c r="U116" s="440"/>
      <c r="V116" s="353"/>
      <c r="W116" s="263"/>
      <c r="X116" s="354"/>
      <c r="Y116" s="2"/>
    </row>
    <row r="117" spans="1:25" ht="45" x14ac:dyDescent="0.25">
      <c r="B117" s="140"/>
      <c r="C117" s="22">
        <v>72103302</v>
      </c>
      <c r="D117" s="23" t="s">
        <v>213</v>
      </c>
      <c r="E117" s="24" t="s">
        <v>169</v>
      </c>
      <c r="F117" s="24">
        <v>1</v>
      </c>
      <c r="G117" s="23" t="s">
        <v>170</v>
      </c>
      <c r="H117" s="24" t="s">
        <v>206</v>
      </c>
      <c r="I117" s="141">
        <v>5500000</v>
      </c>
      <c r="J117" s="141">
        <v>8000000</v>
      </c>
      <c r="K117" s="141">
        <f t="shared" si="8"/>
        <v>8000000</v>
      </c>
      <c r="L117" s="24" t="s">
        <v>20</v>
      </c>
      <c r="M117" s="24" t="s">
        <v>20</v>
      </c>
      <c r="N117" s="27" t="s">
        <v>212</v>
      </c>
      <c r="O117" s="1"/>
      <c r="P117" s="1"/>
      <c r="Q117" s="441"/>
      <c r="R117" s="4"/>
      <c r="S117" s="4"/>
      <c r="T117" s="358"/>
      <c r="U117" s="442" t="s">
        <v>437</v>
      </c>
      <c r="V117" s="353">
        <v>4187000</v>
      </c>
      <c r="W117" s="263" t="s">
        <v>438</v>
      </c>
      <c r="X117" s="354">
        <v>4187000</v>
      </c>
      <c r="Y117" s="2"/>
    </row>
    <row r="118" spans="1:25" ht="33.75" x14ac:dyDescent="0.25">
      <c r="B118" s="140"/>
      <c r="C118" s="22">
        <v>72101511</v>
      </c>
      <c r="D118" s="23" t="s">
        <v>214</v>
      </c>
      <c r="E118" s="24" t="s">
        <v>215</v>
      </c>
      <c r="F118" s="24">
        <v>1</v>
      </c>
      <c r="G118" s="23" t="s">
        <v>170</v>
      </c>
      <c r="H118" s="24" t="s">
        <v>206</v>
      </c>
      <c r="I118" s="141">
        <v>5500000</v>
      </c>
      <c r="J118" s="141">
        <v>8000000</v>
      </c>
      <c r="K118" s="141">
        <f t="shared" si="8"/>
        <v>8000000</v>
      </c>
      <c r="L118" s="24" t="s">
        <v>20</v>
      </c>
      <c r="M118" s="24" t="s">
        <v>20</v>
      </c>
      <c r="N118" s="27" t="s">
        <v>212</v>
      </c>
      <c r="O118" s="1"/>
      <c r="P118" s="1"/>
      <c r="Q118" s="401"/>
      <c r="R118" s="395"/>
      <c r="S118" s="396"/>
      <c r="T118" s="403"/>
      <c r="U118" s="440"/>
      <c r="V118" s="353"/>
      <c r="W118" s="263"/>
      <c r="X118" s="354"/>
      <c r="Y118" s="2"/>
    </row>
    <row r="119" spans="1:25" ht="52.5" customHeight="1" x14ac:dyDescent="0.25">
      <c r="A119" s="1" t="s">
        <v>280</v>
      </c>
      <c r="B119" s="140"/>
      <c r="C119" s="22">
        <v>78181500</v>
      </c>
      <c r="D119" s="23" t="s">
        <v>216</v>
      </c>
      <c r="E119" s="24" t="s">
        <v>169</v>
      </c>
      <c r="F119" s="24">
        <v>1</v>
      </c>
      <c r="G119" s="23" t="s">
        <v>150</v>
      </c>
      <c r="H119" s="24" t="s">
        <v>206</v>
      </c>
      <c r="I119" s="141">
        <v>11000000</v>
      </c>
      <c r="J119" s="141">
        <f>(35000000+5500000)</f>
        <v>40500000</v>
      </c>
      <c r="K119" s="141">
        <f t="shared" si="8"/>
        <v>40500000</v>
      </c>
      <c r="L119" s="24" t="s">
        <v>20</v>
      </c>
      <c r="M119" s="24" t="s">
        <v>20</v>
      </c>
      <c r="N119" s="27" t="s">
        <v>212</v>
      </c>
      <c r="O119" s="1"/>
      <c r="P119" s="1"/>
    </row>
    <row r="120" spans="1:25" ht="52.5" customHeight="1" x14ac:dyDescent="0.25">
      <c r="B120" s="140"/>
      <c r="C120" s="22">
        <v>80111600</v>
      </c>
      <c r="D120" s="23" t="s">
        <v>217</v>
      </c>
      <c r="E120" s="24" t="s">
        <v>53</v>
      </c>
      <c r="F120" s="24">
        <v>11</v>
      </c>
      <c r="G120" s="23" t="s">
        <v>18</v>
      </c>
      <c r="H120" s="24" t="s">
        <v>206</v>
      </c>
      <c r="I120" s="141"/>
      <c r="J120" s="141">
        <v>2050000</v>
      </c>
      <c r="K120" s="141">
        <f t="shared" si="8"/>
        <v>22550000</v>
      </c>
      <c r="L120" s="24" t="s">
        <v>20</v>
      </c>
      <c r="M120" s="24" t="s">
        <v>20</v>
      </c>
      <c r="N120" s="27" t="s">
        <v>218</v>
      </c>
      <c r="O120" s="1"/>
      <c r="P120" s="1"/>
      <c r="Q120" s="402" t="s">
        <v>219</v>
      </c>
      <c r="R120" s="395">
        <v>22550000</v>
      </c>
      <c r="S120" s="396" t="s">
        <v>439</v>
      </c>
      <c r="T120" s="403">
        <v>22550000</v>
      </c>
      <c r="U120" s="440"/>
      <c r="V120" s="353"/>
      <c r="W120" s="263"/>
      <c r="X120" s="354"/>
      <c r="Y120" s="2"/>
    </row>
    <row r="121" spans="1:25" ht="59.25" customHeight="1" x14ac:dyDescent="0.25">
      <c r="B121" s="140"/>
      <c r="C121" s="22">
        <v>80111600</v>
      </c>
      <c r="D121" s="23" t="s">
        <v>217</v>
      </c>
      <c r="E121" s="24" t="s">
        <v>53</v>
      </c>
      <c r="F121" s="24">
        <v>11</v>
      </c>
      <c r="G121" s="23" t="s">
        <v>18</v>
      </c>
      <c r="H121" s="24" t="s">
        <v>206</v>
      </c>
      <c r="I121" s="141"/>
      <c r="J121" s="141">
        <v>2050000</v>
      </c>
      <c r="K121" s="141">
        <f t="shared" si="8"/>
        <v>22550000</v>
      </c>
      <c r="L121" s="24" t="s">
        <v>20</v>
      </c>
      <c r="M121" s="24" t="s">
        <v>20</v>
      </c>
      <c r="N121" s="27" t="s">
        <v>218</v>
      </c>
      <c r="O121" s="1"/>
      <c r="P121" s="1"/>
      <c r="Q121" s="401" t="s">
        <v>440</v>
      </c>
      <c r="R121" s="395">
        <v>20500000</v>
      </c>
      <c r="S121" s="396" t="s">
        <v>441</v>
      </c>
      <c r="T121" s="403">
        <v>20500000</v>
      </c>
      <c r="U121" s="440"/>
      <c r="V121" s="353"/>
      <c r="W121" s="263"/>
      <c r="X121" s="354"/>
      <c r="Y121" s="2"/>
    </row>
    <row r="122" spans="1:25" ht="26.25" customHeight="1" x14ac:dyDescent="0.25">
      <c r="B122" s="140"/>
      <c r="C122" s="22">
        <v>72101516</v>
      </c>
      <c r="D122" s="118" t="s">
        <v>220</v>
      </c>
      <c r="E122" s="24" t="s">
        <v>221</v>
      </c>
      <c r="F122" s="24">
        <v>1</v>
      </c>
      <c r="G122" s="23" t="s">
        <v>170</v>
      </c>
      <c r="H122" s="24" t="s">
        <v>206</v>
      </c>
      <c r="I122" s="141">
        <v>3850000</v>
      </c>
      <c r="J122" s="141">
        <v>5000000</v>
      </c>
      <c r="K122" s="141">
        <f t="shared" si="8"/>
        <v>5000000</v>
      </c>
      <c r="L122" s="24" t="s">
        <v>20</v>
      </c>
      <c r="M122" s="24" t="s">
        <v>20</v>
      </c>
      <c r="N122" s="27" t="s">
        <v>218</v>
      </c>
      <c r="O122" s="1"/>
      <c r="P122" s="1"/>
      <c r="Q122" s="401"/>
      <c r="R122" s="409"/>
      <c r="S122" s="396"/>
      <c r="T122" s="443"/>
      <c r="U122" s="440"/>
      <c r="V122" s="353"/>
      <c r="W122" s="263"/>
      <c r="X122" s="354"/>
      <c r="Y122" s="2"/>
    </row>
    <row r="123" spans="1:25" ht="33.75" x14ac:dyDescent="0.25">
      <c r="B123" s="140"/>
      <c r="C123" s="22">
        <v>72154109</v>
      </c>
      <c r="D123" s="31" t="s">
        <v>222</v>
      </c>
      <c r="E123" s="24" t="s">
        <v>169</v>
      </c>
      <c r="F123" s="24">
        <v>1</v>
      </c>
      <c r="G123" s="23" t="s">
        <v>170</v>
      </c>
      <c r="H123" s="24" t="s">
        <v>206</v>
      </c>
      <c r="I123" s="141">
        <v>11000000</v>
      </c>
      <c r="J123" s="141">
        <v>12000000</v>
      </c>
      <c r="K123" s="141">
        <f t="shared" si="8"/>
        <v>12000000</v>
      </c>
      <c r="L123" s="24" t="s">
        <v>20</v>
      </c>
      <c r="M123" s="24" t="s">
        <v>20</v>
      </c>
      <c r="N123" s="27" t="s">
        <v>212</v>
      </c>
      <c r="O123" s="1"/>
      <c r="P123" s="1"/>
      <c r="Q123" s="401" t="s">
        <v>442</v>
      </c>
      <c r="R123" s="395">
        <v>8997600</v>
      </c>
      <c r="S123" s="396" t="s">
        <v>443</v>
      </c>
      <c r="T123" s="403">
        <v>8997600</v>
      </c>
      <c r="U123" s="440"/>
      <c r="V123" s="353"/>
      <c r="W123" s="263"/>
      <c r="X123" s="354"/>
      <c r="Y123" s="2"/>
    </row>
    <row r="124" spans="1:25" ht="63" customHeight="1" x14ac:dyDescent="0.25">
      <c r="B124" s="140"/>
      <c r="C124" s="22">
        <v>81112205</v>
      </c>
      <c r="D124" s="23" t="s">
        <v>268</v>
      </c>
      <c r="E124" s="24" t="s">
        <v>162</v>
      </c>
      <c r="F124" s="24">
        <v>1</v>
      </c>
      <c r="G124" s="23" t="s">
        <v>18</v>
      </c>
      <c r="H124" s="23" t="s">
        <v>206</v>
      </c>
      <c r="I124" s="141">
        <v>20900000</v>
      </c>
      <c r="J124" s="141">
        <v>35000000</v>
      </c>
      <c r="K124" s="141">
        <f t="shared" si="8"/>
        <v>35000000</v>
      </c>
      <c r="L124" s="24" t="s">
        <v>20</v>
      </c>
      <c r="M124" s="24" t="s">
        <v>20</v>
      </c>
      <c r="N124" s="27" t="s">
        <v>212</v>
      </c>
      <c r="O124" s="1"/>
      <c r="P124" s="1"/>
      <c r="Q124" s="401"/>
      <c r="R124" s="409"/>
      <c r="S124" s="396"/>
      <c r="T124" s="443"/>
      <c r="U124" s="440"/>
      <c r="V124" s="353"/>
      <c r="W124" s="263"/>
      <c r="X124" s="354"/>
      <c r="Y124" s="14"/>
    </row>
    <row r="125" spans="1:25" ht="57" thickBot="1" x14ac:dyDescent="0.3">
      <c r="A125" s="1" t="s">
        <v>279</v>
      </c>
      <c r="B125" s="142"/>
      <c r="C125" s="33">
        <v>72121400</v>
      </c>
      <c r="D125" s="34" t="s">
        <v>223</v>
      </c>
      <c r="E125" s="35" t="s">
        <v>224</v>
      </c>
      <c r="F125" s="35">
        <v>1</v>
      </c>
      <c r="G125" s="34" t="s">
        <v>150</v>
      </c>
      <c r="H125" s="34" t="s">
        <v>206</v>
      </c>
      <c r="I125" s="143">
        <v>74800000</v>
      </c>
      <c r="J125" s="143">
        <f>(59900000-5500000)</f>
        <v>54400000</v>
      </c>
      <c r="K125" s="143">
        <f t="shared" si="8"/>
        <v>54400000</v>
      </c>
      <c r="L125" s="35" t="s">
        <v>20</v>
      </c>
      <c r="M125" s="35" t="s">
        <v>20</v>
      </c>
      <c r="N125" s="38" t="s">
        <v>212</v>
      </c>
      <c r="O125" s="1"/>
      <c r="P125" s="1"/>
      <c r="Q125" s="413"/>
      <c r="R125" s="444"/>
      <c r="S125" s="415"/>
      <c r="T125" s="445"/>
      <c r="U125" s="446"/>
      <c r="V125" s="364"/>
      <c r="W125" s="427"/>
      <c r="X125" s="363"/>
      <c r="Y125" s="432"/>
    </row>
    <row r="126" spans="1:25" ht="15.75" thickBot="1" x14ac:dyDescent="0.3">
      <c r="B126" s="144"/>
      <c r="C126" s="59"/>
      <c r="D126" s="63"/>
      <c r="E126" s="61"/>
      <c r="F126" s="61"/>
      <c r="G126" s="63"/>
      <c r="H126" s="63"/>
      <c r="I126" s="145">
        <f>SUM(I114:I125)</f>
        <v>154750000</v>
      </c>
      <c r="J126" s="146"/>
      <c r="K126" s="146">
        <f>SUM(K112:K125)</f>
        <v>427000000</v>
      </c>
      <c r="L126" s="61"/>
      <c r="M126" s="61"/>
      <c r="N126" s="87"/>
      <c r="O126" s="1"/>
      <c r="P126" s="1"/>
      <c r="Q126" s="372"/>
      <c r="R126" s="386">
        <f>SUM(R112:R125)</f>
        <v>118721844</v>
      </c>
      <c r="S126" s="368"/>
      <c r="T126" s="386">
        <f>SUM(T112:T125)</f>
        <v>118721844</v>
      </c>
      <c r="U126" s="14"/>
      <c r="V126" s="436">
        <f>SUM(V112:V125)</f>
        <v>25787000</v>
      </c>
      <c r="W126" s="79"/>
      <c r="X126" s="436">
        <f>SUM(X112:X125)</f>
        <v>25787000</v>
      </c>
      <c r="Y126" s="433"/>
    </row>
    <row r="127" spans="1:25" ht="15.75" thickBot="1" x14ac:dyDescent="0.3">
      <c r="B127" s="144"/>
      <c r="C127" s="59"/>
      <c r="D127" s="63"/>
      <c r="E127" s="61"/>
      <c r="F127" s="61"/>
      <c r="G127" s="63"/>
      <c r="H127" s="63"/>
      <c r="I127" s="145"/>
      <c r="J127" s="147"/>
      <c r="K127" s="147"/>
      <c r="L127" s="61"/>
      <c r="M127" s="61"/>
      <c r="N127" s="87"/>
      <c r="O127" s="1"/>
      <c r="P127" s="1"/>
      <c r="Q127" s="372"/>
      <c r="R127" s="372"/>
      <c r="S127" s="368"/>
      <c r="T127" s="372"/>
      <c r="U127" s="14"/>
      <c r="V127" s="14"/>
      <c r="W127" s="14"/>
      <c r="X127" s="433"/>
      <c r="Y127" s="79"/>
    </row>
    <row r="128" spans="1:25" ht="19.5" thickBot="1" x14ac:dyDescent="0.3">
      <c r="B128" s="148"/>
      <c r="C128" s="329" t="s">
        <v>225</v>
      </c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149"/>
      <c r="O128" s="1"/>
      <c r="P128" s="1"/>
      <c r="Q128" s="372"/>
      <c r="R128" s="372"/>
      <c r="S128" s="368"/>
      <c r="T128" s="372"/>
      <c r="U128" s="14"/>
      <c r="V128" s="2"/>
      <c r="W128" s="2"/>
      <c r="X128" s="2"/>
      <c r="Y128" s="447"/>
    </row>
    <row r="129" spans="2:25" ht="69" thickBot="1" x14ac:dyDescent="0.3">
      <c r="B129" s="150"/>
      <c r="C129" s="151">
        <v>80111504</v>
      </c>
      <c r="D129" s="152" t="s">
        <v>226</v>
      </c>
      <c r="E129" s="153" t="s">
        <v>227</v>
      </c>
      <c r="F129" s="153">
        <v>12</v>
      </c>
      <c r="G129" s="154" t="s">
        <v>139</v>
      </c>
      <c r="H129" s="154" t="s">
        <v>228</v>
      </c>
      <c r="I129" s="155">
        <v>50000000</v>
      </c>
      <c r="J129" s="155">
        <v>70000000</v>
      </c>
      <c r="K129" s="155">
        <v>70000000</v>
      </c>
      <c r="L129" s="153" t="s">
        <v>20</v>
      </c>
      <c r="M129" s="153" t="s">
        <v>20</v>
      </c>
      <c r="N129" s="156" t="s">
        <v>43</v>
      </c>
      <c r="O129" s="1"/>
      <c r="P129" s="1"/>
      <c r="Q129" s="448" t="s">
        <v>444</v>
      </c>
      <c r="R129" s="449">
        <f>(1360000+940100+940100)</f>
        <v>3240200</v>
      </c>
      <c r="S129" s="450" t="s">
        <v>445</v>
      </c>
      <c r="T129" s="451">
        <f>(1360000+940100+940100)</f>
        <v>3240200</v>
      </c>
      <c r="U129" s="452" t="s">
        <v>446</v>
      </c>
      <c r="V129" s="453">
        <f>(3313832+3260441+1430597)</f>
        <v>8004870</v>
      </c>
      <c r="W129" s="454" t="s">
        <v>447</v>
      </c>
      <c r="X129" s="453">
        <f>(3313832+3260441+1430597)</f>
        <v>8004870</v>
      </c>
      <c r="Y129" s="2"/>
    </row>
    <row r="130" spans="2:25" ht="15.75" thickBot="1" x14ac:dyDescent="0.3">
      <c r="B130" s="144"/>
      <c r="C130" s="157"/>
      <c r="D130" s="158"/>
      <c r="E130" s="61"/>
      <c r="F130" s="61"/>
      <c r="G130" s="63"/>
      <c r="H130" s="63"/>
      <c r="I130" s="159">
        <v>50000000</v>
      </c>
      <c r="J130" s="159"/>
      <c r="K130" s="146">
        <f>SUM(K129)</f>
        <v>70000000</v>
      </c>
      <c r="L130" s="61"/>
      <c r="M130" s="61"/>
      <c r="N130" s="87"/>
      <c r="O130" s="1"/>
      <c r="P130" s="1"/>
      <c r="Q130" s="372"/>
      <c r="R130" s="434">
        <f>SUM(R129)</f>
        <v>3240200</v>
      </c>
      <c r="S130" s="368"/>
      <c r="T130" s="434">
        <f>SUM(T129)</f>
        <v>3240200</v>
      </c>
      <c r="U130" s="14"/>
      <c r="V130" s="455">
        <f>SUM(V129)</f>
        <v>8004870</v>
      </c>
      <c r="W130" s="433"/>
      <c r="X130" s="456">
        <f>SUM(X129)</f>
        <v>8004870</v>
      </c>
      <c r="Y130" s="2"/>
    </row>
    <row r="131" spans="2:25" ht="36.75" customHeight="1" thickBot="1" x14ac:dyDescent="0.3">
      <c r="B131" s="144"/>
      <c r="C131" s="157"/>
      <c r="D131" s="158"/>
      <c r="E131" s="61"/>
      <c r="F131" s="61"/>
      <c r="G131" s="63"/>
      <c r="H131" s="63"/>
      <c r="I131" s="159"/>
      <c r="J131" s="159"/>
      <c r="K131" s="159"/>
      <c r="L131" s="61"/>
      <c r="M131" s="61"/>
      <c r="N131" s="87"/>
      <c r="O131" s="1"/>
      <c r="P131" s="1"/>
      <c r="Q131" s="372"/>
      <c r="R131" s="372"/>
      <c r="S131" s="368"/>
      <c r="T131" s="372"/>
      <c r="U131" s="14"/>
      <c r="V131" s="2"/>
      <c r="W131" s="2"/>
      <c r="X131" s="2"/>
      <c r="Y131" s="2"/>
    </row>
    <row r="132" spans="2:25" ht="22.5" customHeight="1" thickBot="1" x14ac:dyDescent="0.3">
      <c r="B132" s="309" t="s">
        <v>229</v>
      </c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30"/>
      <c r="O132" s="1"/>
      <c r="P132" s="1"/>
      <c r="Q132" s="429"/>
      <c r="R132" s="370"/>
      <c r="S132" s="368"/>
      <c r="T132" s="370"/>
      <c r="U132" s="14"/>
      <c r="V132" s="2"/>
      <c r="W132" s="2"/>
      <c r="X132" s="2"/>
      <c r="Y132" s="2"/>
    </row>
    <row r="133" spans="2:25" ht="22.5" customHeight="1" x14ac:dyDescent="0.25">
      <c r="B133" s="160"/>
      <c r="C133" s="161" t="s">
        <v>230</v>
      </c>
      <c r="D133" s="44" t="s">
        <v>231</v>
      </c>
      <c r="E133" s="20" t="s">
        <v>157</v>
      </c>
      <c r="F133" s="20">
        <v>1</v>
      </c>
      <c r="G133" s="20" t="s">
        <v>150</v>
      </c>
      <c r="H133" s="20" t="s">
        <v>232</v>
      </c>
      <c r="I133" s="70">
        <v>22000000</v>
      </c>
      <c r="J133" s="70">
        <f>(30000000+20000000)</f>
        <v>50000000</v>
      </c>
      <c r="K133" s="70">
        <f>F133*J133</f>
        <v>50000000</v>
      </c>
      <c r="L133" s="20" t="s">
        <v>20</v>
      </c>
      <c r="M133" s="20" t="s">
        <v>20</v>
      </c>
      <c r="N133" s="46" t="s">
        <v>233</v>
      </c>
      <c r="O133" s="1"/>
      <c r="P133" s="1"/>
      <c r="Q133" s="388"/>
      <c r="R133" s="389"/>
      <c r="S133" s="390"/>
      <c r="T133" s="391"/>
      <c r="U133" s="457" t="s">
        <v>448</v>
      </c>
      <c r="V133" s="346">
        <v>50000000</v>
      </c>
      <c r="W133" s="347" t="s">
        <v>449</v>
      </c>
      <c r="X133" s="348">
        <v>50000000</v>
      </c>
      <c r="Y133" s="2"/>
    </row>
    <row r="134" spans="2:25" ht="22.5" customHeight="1" x14ac:dyDescent="0.25">
      <c r="B134" s="162"/>
      <c r="C134" s="22" t="s">
        <v>234</v>
      </c>
      <c r="D134" s="23" t="s">
        <v>235</v>
      </c>
      <c r="E134" s="24" t="s">
        <v>169</v>
      </c>
      <c r="F134" s="24">
        <v>1</v>
      </c>
      <c r="G134" s="24" t="s">
        <v>150</v>
      </c>
      <c r="H134" s="24" t="s">
        <v>232</v>
      </c>
      <c r="I134" s="71">
        <v>88000000</v>
      </c>
      <c r="J134" s="71">
        <v>110000000</v>
      </c>
      <c r="K134" s="71">
        <f>F134*J134</f>
        <v>110000000</v>
      </c>
      <c r="L134" s="24" t="s">
        <v>20</v>
      </c>
      <c r="M134" s="24" t="s">
        <v>20</v>
      </c>
      <c r="N134" s="27" t="s">
        <v>233</v>
      </c>
      <c r="O134" s="1"/>
      <c r="P134" s="1"/>
      <c r="Q134" s="401"/>
      <c r="R134" s="395"/>
      <c r="S134" s="396"/>
      <c r="T134" s="397"/>
      <c r="U134" s="379"/>
      <c r="V134" s="263"/>
      <c r="W134" s="263"/>
      <c r="X134" s="398"/>
      <c r="Y134" s="2"/>
    </row>
    <row r="135" spans="2:25" ht="59.25" customHeight="1" thickBot="1" x14ac:dyDescent="0.3">
      <c r="B135" s="163"/>
      <c r="C135" s="164" t="s">
        <v>236</v>
      </c>
      <c r="D135" s="34" t="s">
        <v>237</v>
      </c>
      <c r="E135" s="35" t="s">
        <v>157</v>
      </c>
      <c r="F135" s="35">
        <v>1</v>
      </c>
      <c r="G135" s="35" t="s">
        <v>170</v>
      </c>
      <c r="H135" s="35" t="s">
        <v>232</v>
      </c>
      <c r="I135" s="76">
        <v>11000000</v>
      </c>
      <c r="J135" s="76">
        <f>(30000000-20000000)</f>
        <v>10000000</v>
      </c>
      <c r="K135" s="76">
        <f>F135*J135</f>
        <v>10000000</v>
      </c>
      <c r="L135" s="35" t="s">
        <v>20</v>
      </c>
      <c r="M135" s="35" t="s">
        <v>20</v>
      </c>
      <c r="N135" s="38" t="s">
        <v>233</v>
      </c>
      <c r="O135" s="1"/>
      <c r="P135" s="1"/>
      <c r="Q135" s="401"/>
      <c r="R135" s="409"/>
      <c r="S135" s="396"/>
      <c r="T135" s="410"/>
      <c r="U135" s="402" t="s">
        <v>448</v>
      </c>
      <c r="V135" s="353">
        <v>9648030</v>
      </c>
      <c r="W135" s="263" t="s">
        <v>449</v>
      </c>
      <c r="X135" s="354">
        <v>9648030</v>
      </c>
      <c r="Y135" s="2"/>
    </row>
    <row r="136" spans="2:25" ht="186.75" customHeight="1" thickBot="1" x14ac:dyDescent="0.3">
      <c r="B136" s="165"/>
      <c r="C136" s="166">
        <v>55111505</v>
      </c>
      <c r="D136" s="167" t="s">
        <v>238</v>
      </c>
      <c r="E136" s="153" t="s">
        <v>82</v>
      </c>
      <c r="F136" s="153">
        <v>1</v>
      </c>
      <c r="G136" s="153" t="s">
        <v>18</v>
      </c>
      <c r="H136" s="153" t="s">
        <v>232</v>
      </c>
      <c r="I136" s="155">
        <v>11000000</v>
      </c>
      <c r="J136" s="155">
        <v>13000000</v>
      </c>
      <c r="K136" s="155">
        <v>13000000</v>
      </c>
      <c r="L136" s="153" t="s">
        <v>20</v>
      </c>
      <c r="M136" s="153" t="s">
        <v>20</v>
      </c>
      <c r="N136" s="156" t="s">
        <v>239</v>
      </c>
      <c r="O136" s="1"/>
      <c r="P136" s="1"/>
      <c r="Q136" s="413"/>
      <c r="R136" s="444"/>
      <c r="S136" s="415"/>
      <c r="T136" s="416"/>
      <c r="U136" s="383"/>
      <c r="V136" s="458"/>
      <c r="W136" s="427"/>
      <c r="X136" s="428"/>
      <c r="Y136" s="432"/>
    </row>
    <row r="137" spans="2:25" ht="31.5" customHeight="1" thickBot="1" x14ac:dyDescent="0.3">
      <c r="B137" s="144"/>
      <c r="C137" s="59"/>
      <c r="D137" s="87"/>
      <c r="E137" s="61"/>
      <c r="F137" s="61"/>
      <c r="G137" s="63"/>
      <c r="H137" s="63"/>
      <c r="I137" s="159">
        <f>SUM(I133:I136)</f>
        <v>132000000</v>
      </c>
      <c r="J137" s="146"/>
      <c r="K137" s="146">
        <f>SUM(K133:K136)</f>
        <v>183000000</v>
      </c>
      <c r="L137" s="61"/>
      <c r="M137" s="61"/>
      <c r="N137" s="87"/>
      <c r="O137" s="1"/>
      <c r="P137" s="1"/>
      <c r="Q137" s="370"/>
      <c r="R137" s="430">
        <v>0</v>
      </c>
      <c r="S137" s="368"/>
      <c r="T137" s="459">
        <v>0</v>
      </c>
      <c r="U137" s="14"/>
      <c r="V137" s="460">
        <f>SUM(V133:V136)</f>
        <v>59648030</v>
      </c>
      <c r="W137" s="79"/>
      <c r="X137" s="367">
        <f>SUM(X133:X136)</f>
        <v>59648030</v>
      </c>
      <c r="Y137" s="433"/>
    </row>
    <row r="138" spans="2:25" ht="25.5" customHeight="1" thickBot="1" x14ac:dyDescent="0.3">
      <c r="B138" s="144"/>
      <c r="C138" s="59"/>
      <c r="D138" s="87"/>
      <c r="E138" s="61"/>
      <c r="F138" s="61"/>
      <c r="G138" s="63"/>
      <c r="H138" s="63"/>
      <c r="I138" s="159"/>
      <c r="J138" s="159"/>
      <c r="K138" s="159"/>
      <c r="L138" s="61"/>
      <c r="M138" s="61"/>
      <c r="N138" s="168"/>
      <c r="O138" s="1"/>
      <c r="P138" s="1"/>
      <c r="Q138" s="372"/>
      <c r="R138" s="372"/>
      <c r="S138" s="368"/>
      <c r="T138" s="372"/>
      <c r="U138" s="14"/>
      <c r="V138" s="14"/>
      <c r="W138" s="14"/>
      <c r="X138" s="14"/>
      <c r="Y138" s="14"/>
    </row>
    <row r="139" spans="2:25" ht="22.5" customHeight="1" thickBot="1" x14ac:dyDescent="0.3">
      <c r="B139" s="331" t="s">
        <v>240</v>
      </c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3"/>
      <c r="O139" s="1"/>
      <c r="P139" s="1"/>
      <c r="Q139" s="372"/>
      <c r="R139" s="372"/>
      <c r="S139" s="368"/>
      <c r="T139" s="372"/>
      <c r="U139" s="14"/>
      <c r="V139" s="14"/>
      <c r="W139" s="14"/>
      <c r="X139" s="14"/>
      <c r="Y139" s="14"/>
    </row>
    <row r="140" spans="2:25" ht="45" x14ac:dyDescent="0.25">
      <c r="B140" s="169"/>
      <c r="C140" s="170">
        <v>78102200</v>
      </c>
      <c r="D140" s="171" t="s">
        <v>241</v>
      </c>
      <c r="E140" s="20" t="s">
        <v>53</v>
      </c>
      <c r="F140" s="20">
        <v>1</v>
      </c>
      <c r="G140" s="44" t="s">
        <v>150</v>
      </c>
      <c r="H140" s="20" t="s">
        <v>242</v>
      </c>
      <c r="I140" s="139">
        <v>19800000</v>
      </c>
      <c r="J140" s="139">
        <v>24000000</v>
      </c>
      <c r="K140" s="139">
        <v>24000000</v>
      </c>
      <c r="L140" s="20" t="s">
        <v>20</v>
      </c>
      <c r="M140" s="20" t="s">
        <v>20</v>
      </c>
      <c r="N140" s="117" t="s">
        <v>126</v>
      </c>
      <c r="O140" s="1"/>
      <c r="P140" s="1"/>
      <c r="Q140" s="461" t="s">
        <v>450</v>
      </c>
      <c r="R140" s="389">
        <v>20000000</v>
      </c>
      <c r="S140" s="462" t="s">
        <v>451</v>
      </c>
      <c r="T140" s="391">
        <v>20000000</v>
      </c>
      <c r="U140" s="392"/>
      <c r="V140" s="507"/>
      <c r="W140" s="347"/>
      <c r="X140" s="508"/>
      <c r="Y140" s="14"/>
    </row>
    <row r="141" spans="2:25" ht="22.5" customHeight="1" thickBot="1" x14ac:dyDescent="0.3">
      <c r="B141" s="172"/>
      <c r="C141" s="173">
        <v>78111804</v>
      </c>
      <c r="D141" s="174" t="s">
        <v>243</v>
      </c>
      <c r="E141" s="35" t="s">
        <v>53</v>
      </c>
      <c r="F141" s="35">
        <v>1</v>
      </c>
      <c r="G141" s="34" t="s">
        <v>170</v>
      </c>
      <c r="H141" s="35" t="s">
        <v>139</v>
      </c>
      <c r="I141" s="143">
        <v>2200000</v>
      </c>
      <c r="J141" s="143">
        <v>3000000</v>
      </c>
      <c r="K141" s="143">
        <v>3000000</v>
      </c>
      <c r="L141" s="35" t="s">
        <v>20</v>
      </c>
      <c r="M141" s="35" t="s">
        <v>20</v>
      </c>
      <c r="N141" s="38" t="s">
        <v>195</v>
      </c>
      <c r="O141" s="1"/>
      <c r="P141" s="1"/>
      <c r="Q141" s="501"/>
      <c r="R141" s="503"/>
      <c r="S141" s="503"/>
      <c r="T141" s="505"/>
      <c r="U141" s="501"/>
      <c r="V141" s="503"/>
      <c r="W141" s="503"/>
      <c r="X141" s="504"/>
    </row>
    <row r="142" spans="2:25" ht="31.5" customHeight="1" thickBot="1" x14ac:dyDescent="0.3">
      <c r="B142" s="144"/>
      <c r="C142" s="59"/>
      <c r="D142" s="87"/>
      <c r="E142" s="61"/>
      <c r="F142" s="61"/>
      <c r="G142" s="63"/>
      <c r="H142" s="63"/>
      <c r="I142" s="145">
        <f>SUM(I140:I141)</f>
        <v>22000000</v>
      </c>
      <c r="J142" s="175"/>
      <c r="K142" s="175">
        <f>SUM(K140:K141)</f>
        <v>27000000</v>
      </c>
      <c r="L142" s="61"/>
      <c r="M142" s="61"/>
      <c r="N142" s="87"/>
      <c r="O142" s="1"/>
      <c r="P142" s="1"/>
      <c r="Q142" s="372"/>
      <c r="R142" s="367">
        <f>SUM(R140:R140)</f>
        <v>20000000</v>
      </c>
      <c r="S142" s="464"/>
      <c r="T142" s="367">
        <f>SUM(T140:T140)</f>
        <v>20000000</v>
      </c>
      <c r="U142" s="14"/>
      <c r="V142" s="506"/>
      <c r="W142" s="14"/>
      <c r="X142" s="506"/>
      <c r="Y142" s="14"/>
    </row>
    <row r="143" spans="2:25" ht="27.75" customHeight="1" thickBot="1" x14ac:dyDescent="0.3">
      <c r="B143" s="144"/>
      <c r="C143" s="59"/>
      <c r="D143" s="87"/>
      <c r="E143" s="61"/>
      <c r="F143" s="61"/>
      <c r="G143" s="63"/>
      <c r="H143" s="63"/>
      <c r="I143" s="145"/>
      <c r="J143" s="145"/>
      <c r="K143" s="145"/>
      <c r="L143" s="61"/>
      <c r="M143" s="61"/>
      <c r="N143" s="87"/>
      <c r="O143" s="1"/>
      <c r="P143" s="1"/>
      <c r="Q143" s="366"/>
      <c r="R143" s="466"/>
      <c r="S143" s="368"/>
      <c r="T143" s="466"/>
      <c r="U143" s="14"/>
      <c r="V143" s="14"/>
      <c r="W143" s="14"/>
      <c r="X143" s="14"/>
      <c r="Y143" s="14"/>
    </row>
    <row r="144" spans="2:25" ht="42.75" customHeight="1" thickBot="1" x14ac:dyDescent="0.3">
      <c r="B144" s="331" t="s">
        <v>244</v>
      </c>
      <c r="C144" s="332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3"/>
      <c r="O144" s="1"/>
      <c r="P144" s="1"/>
      <c r="Q144" s="372"/>
      <c r="R144" s="466"/>
      <c r="S144" s="368"/>
      <c r="T144" s="467"/>
      <c r="U144" s="14"/>
      <c r="V144" s="14"/>
      <c r="W144" s="14"/>
      <c r="X144" s="14"/>
      <c r="Y144" s="14"/>
    </row>
    <row r="145" spans="2:25" ht="48" customHeight="1" thickBot="1" x14ac:dyDescent="0.3">
      <c r="B145" s="176"/>
      <c r="C145" s="177" t="s">
        <v>245</v>
      </c>
      <c r="D145" s="178" t="s">
        <v>246</v>
      </c>
      <c r="E145" s="153" t="s">
        <v>247</v>
      </c>
      <c r="F145" s="153">
        <v>1</v>
      </c>
      <c r="G145" s="154" t="s">
        <v>248</v>
      </c>
      <c r="H145" s="153" t="s">
        <v>249</v>
      </c>
      <c r="I145" s="179">
        <v>74800000</v>
      </c>
      <c r="J145" s="179">
        <v>320000000</v>
      </c>
      <c r="K145" s="179">
        <v>320000000</v>
      </c>
      <c r="L145" s="153" t="s">
        <v>153</v>
      </c>
      <c r="M145" s="153" t="s">
        <v>153</v>
      </c>
      <c r="N145" s="156" t="s">
        <v>43</v>
      </c>
      <c r="O145" s="1"/>
      <c r="P145" s="1"/>
      <c r="Q145" s="468"/>
      <c r="R145" s="469"/>
      <c r="S145" s="450"/>
      <c r="T145" s="470"/>
      <c r="U145" s="463"/>
      <c r="V145" s="471"/>
      <c r="W145" s="454"/>
      <c r="X145" s="472"/>
      <c r="Y145" s="14"/>
    </row>
    <row r="146" spans="2:25" ht="33.75" customHeight="1" thickBot="1" x14ac:dyDescent="0.3">
      <c r="B146" s="144"/>
      <c r="C146" s="59"/>
      <c r="D146" s="63"/>
      <c r="E146" s="61"/>
      <c r="F146" s="61"/>
      <c r="G146" s="63"/>
      <c r="H146" s="63"/>
      <c r="I146" s="145">
        <f>SUM(I145)</f>
        <v>74800000</v>
      </c>
      <c r="J146" s="175"/>
      <c r="K146" s="175">
        <f>SUM(K145)</f>
        <v>320000000</v>
      </c>
      <c r="L146" s="61"/>
      <c r="M146" s="61"/>
      <c r="N146" s="87"/>
      <c r="Q146" s="372"/>
      <c r="R146" s="459">
        <v>0</v>
      </c>
      <c r="S146" s="368"/>
      <c r="T146" s="459">
        <v>0</v>
      </c>
      <c r="U146" s="14"/>
      <c r="V146" s="465"/>
      <c r="W146" s="79"/>
      <c r="X146" s="473"/>
      <c r="Y146" s="14"/>
    </row>
    <row r="147" spans="2:25" ht="24" customHeight="1" thickBot="1" x14ac:dyDescent="0.3">
      <c r="B147" s="144"/>
      <c r="C147" s="59"/>
      <c r="D147" s="63"/>
      <c r="E147" s="61"/>
      <c r="F147" s="61"/>
      <c r="G147" s="63"/>
      <c r="H147" s="63"/>
      <c r="I147" s="145"/>
      <c r="J147" s="145"/>
      <c r="K147" s="145"/>
      <c r="L147" s="61"/>
      <c r="M147" s="61"/>
      <c r="N147" s="168"/>
      <c r="Q147" s="372"/>
      <c r="R147" s="372"/>
      <c r="S147" s="368"/>
      <c r="T147" s="372"/>
      <c r="U147" s="14"/>
      <c r="V147" s="14"/>
      <c r="W147" s="14"/>
      <c r="X147" s="14"/>
      <c r="Y147" s="14"/>
    </row>
    <row r="148" spans="2:25" ht="30" customHeight="1" thickBot="1" x14ac:dyDescent="0.3">
      <c r="B148" s="309" t="s">
        <v>250</v>
      </c>
      <c r="C148" s="310"/>
      <c r="D148" s="310"/>
      <c r="E148" s="329"/>
      <c r="F148" s="329"/>
      <c r="G148" s="329"/>
      <c r="H148" s="310"/>
      <c r="I148" s="329"/>
      <c r="J148" s="329"/>
      <c r="K148" s="329"/>
      <c r="L148" s="310"/>
      <c r="M148" s="310"/>
      <c r="N148" s="311"/>
      <c r="Q148" s="372"/>
      <c r="R148" s="372"/>
      <c r="S148" s="368"/>
      <c r="T148" s="372"/>
      <c r="U148" s="14"/>
      <c r="V148" s="14"/>
      <c r="W148" s="14"/>
      <c r="X148" s="14"/>
      <c r="Y148" s="14"/>
    </row>
    <row r="149" spans="2:25" ht="45" customHeight="1" x14ac:dyDescent="0.25">
      <c r="B149" s="185"/>
      <c r="C149" s="253">
        <v>94131504</v>
      </c>
      <c r="D149" s="255" t="s">
        <v>251</v>
      </c>
      <c r="E149" s="13" t="s">
        <v>252</v>
      </c>
      <c r="F149" s="248">
        <v>1</v>
      </c>
      <c r="G149" s="250" t="s">
        <v>139</v>
      </c>
      <c r="H149" s="256" t="s">
        <v>253</v>
      </c>
      <c r="I149" s="257">
        <v>22000000</v>
      </c>
      <c r="J149" s="259">
        <v>32000000</v>
      </c>
      <c r="K149" s="257">
        <f>F149*J149</f>
        <v>32000000</v>
      </c>
      <c r="L149" s="186" t="s">
        <v>20</v>
      </c>
      <c r="M149" s="261" t="s">
        <v>20</v>
      </c>
      <c r="N149" s="256" t="s">
        <v>43</v>
      </c>
      <c r="Q149" s="474" t="s">
        <v>452</v>
      </c>
      <c r="R149" s="475">
        <v>18335540</v>
      </c>
      <c r="S149" s="476" t="s">
        <v>453</v>
      </c>
      <c r="T149" s="477">
        <v>18335540</v>
      </c>
      <c r="U149" s="392"/>
      <c r="V149" s="478"/>
      <c r="W149" s="479"/>
      <c r="X149" s="480"/>
      <c r="Y149" s="14"/>
    </row>
    <row r="150" spans="2:25" ht="70.5" customHeight="1" thickBot="1" x14ac:dyDescent="0.3">
      <c r="B150" s="252"/>
      <c r="C150" s="274">
        <v>81112003</v>
      </c>
      <c r="D150" s="275" t="s">
        <v>275</v>
      </c>
      <c r="E150" s="254" t="s">
        <v>247</v>
      </c>
      <c r="F150" s="249">
        <v>6</v>
      </c>
      <c r="G150" s="249" t="s">
        <v>150</v>
      </c>
      <c r="H150" s="251" t="s">
        <v>253</v>
      </c>
      <c r="I150" s="258"/>
      <c r="J150" s="260">
        <v>64000000</v>
      </c>
      <c r="K150" s="258">
        <v>64000000</v>
      </c>
      <c r="L150" s="262" t="s">
        <v>20</v>
      </c>
      <c r="M150" s="249" t="s">
        <v>20</v>
      </c>
      <c r="N150" s="251" t="s">
        <v>195</v>
      </c>
      <c r="Q150" s="481"/>
      <c r="R150" s="482"/>
      <c r="S150" s="483"/>
      <c r="T150" s="484"/>
      <c r="U150" s="383"/>
      <c r="V150" s="485">
        <f t="shared" ref="V150" si="9">SUM(T150:U150)</f>
        <v>0</v>
      </c>
      <c r="W150" s="486"/>
      <c r="X150" s="487"/>
      <c r="Y150" s="14"/>
    </row>
    <row r="151" spans="2:25" ht="24.75" customHeight="1" thickBot="1" x14ac:dyDescent="0.3">
      <c r="B151" s="144"/>
      <c r="C151" s="59"/>
      <c r="D151" s="87"/>
      <c r="E151" s="61"/>
      <c r="F151" s="61"/>
      <c r="G151" s="63"/>
      <c r="H151" s="63"/>
      <c r="I151" s="145">
        <f>SUM(I149)</f>
        <v>22000000</v>
      </c>
      <c r="J151" s="175"/>
      <c r="K151" s="175">
        <f>SUM(K149:K150)</f>
        <v>96000000</v>
      </c>
      <c r="L151" s="61"/>
      <c r="M151" s="61"/>
      <c r="N151" s="84"/>
      <c r="Q151" s="372"/>
      <c r="R151" s="386">
        <f>SUM(R149:R150)</f>
        <v>18335540</v>
      </c>
      <c r="S151" s="368"/>
      <c r="T151" s="386">
        <f>SUM(T149:T150)</f>
        <v>18335540</v>
      </c>
      <c r="U151" s="28"/>
      <c r="V151" s="456"/>
      <c r="W151" s="14"/>
      <c r="X151" s="473"/>
      <c r="Y151" s="14"/>
    </row>
    <row r="152" spans="2:25" ht="27" customHeight="1" thickBot="1" x14ac:dyDescent="0.3">
      <c r="B152" s="144"/>
      <c r="C152" s="59"/>
      <c r="D152" s="87"/>
      <c r="E152" s="61"/>
      <c r="F152" s="61"/>
      <c r="G152" s="63"/>
      <c r="H152" s="63"/>
      <c r="I152" s="145"/>
      <c r="J152" s="145"/>
      <c r="K152" s="145"/>
      <c r="L152" s="61"/>
      <c r="M152" s="61"/>
      <c r="N152" s="87"/>
      <c r="O152" s="14"/>
      <c r="P152" s="14"/>
      <c r="Q152" s="372"/>
      <c r="R152" s="372"/>
      <c r="S152" s="368"/>
      <c r="T152" s="372"/>
      <c r="U152" s="28"/>
      <c r="V152" s="14"/>
      <c r="W152" s="14"/>
      <c r="X152" s="14"/>
      <c r="Y152" s="14"/>
    </row>
    <row r="153" spans="2:25" ht="27" customHeight="1" thickBot="1" x14ac:dyDescent="0.3">
      <c r="B153" s="309" t="s">
        <v>254</v>
      </c>
      <c r="C153" s="329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1"/>
      <c r="Y153" s="14"/>
    </row>
    <row r="154" spans="2:25" ht="26.25" customHeight="1" thickBot="1" x14ac:dyDescent="0.3">
      <c r="B154" s="180"/>
      <c r="C154" s="182">
        <v>80141607</v>
      </c>
      <c r="D154" s="181" t="s">
        <v>255</v>
      </c>
      <c r="E154" s="153" t="s">
        <v>221</v>
      </c>
      <c r="F154" s="153">
        <v>1</v>
      </c>
      <c r="G154" s="154" t="s">
        <v>139</v>
      </c>
      <c r="H154" s="154" t="s">
        <v>254</v>
      </c>
      <c r="I154" s="183">
        <v>34650000</v>
      </c>
      <c r="J154" s="183">
        <v>40000000</v>
      </c>
      <c r="K154" s="183">
        <f>F154*J154</f>
        <v>40000000</v>
      </c>
      <c r="L154" s="153" t="s">
        <v>20</v>
      </c>
      <c r="M154" s="153" t="s">
        <v>20</v>
      </c>
      <c r="N154" s="184" t="s">
        <v>141</v>
      </c>
      <c r="Q154" s="468"/>
      <c r="R154" s="469"/>
      <c r="S154" s="450"/>
      <c r="T154" s="470"/>
      <c r="U154" s="463"/>
      <c r="V154" s="471"/>
      <c r="W154" s="471"/>
      <c r="X154" s="472"/>
      <c r="Y154" s="14"/>
    </row>
    <row r="155" spans="2:25" ht="23.25" customHeight="1" thickBot="1" x14ac:dyDescent="0.3">
      <c r="B155" s="144"/>
      <c r="C155" s="59"/>
      <c r="D155" s="87"/>
      <c r="E155" s="61"/>
      <c r="F155" s="61"/>
      <c r="G155" s="63"/>
      <c r="H155" s="63"/>
      <c r="I155" s="137"/>
      <c r="J155" s="135"/>
      <c r="K155" s="135">
        <f>SUM(K154)</f>
        <v>40000000</v>
      </c>
      <c r="L155" s="61"/>
      <c r="M155" s="61"/>
      <c r="N155" s="112"/>
      <c r="Q155" s="372"/>
      <c r="R155" s="488">
        <v>0</v>
      </c>
      <c r="S155" s="368"/>
      <c r="T155" s="488">
        <v>0</v>
      </c>
      <c r="U155" s="14"/>
      <c r="V155" s="456"/>
      <c r="W155" s="79"/>
      <c r="X155" s="473"/>
      <c r="Y155" s="14"/>
    </row>
    <row r="156" spans="2:25" ht="23.25" customHeight="1" thickBot="1" x14ac:dyDescent="0.3">
      <c r="B156" s="144"/>
      <c r="C156" s="59"/>
      <c r="D156" s="87"/>
      <c r="E156" s="61"/>
      <c r="F156" s="61"/>
      <c r="G156" s="63"/>
      <c r="H156" s="63"/>
      <c r="I156" s="137"/>
      <c r="J156" s="137"/>
      <c r="K156" s="137"/>
      <c r="L156" s="61"/>
      <c r="M156" s="61"/>
      <c r="N156" s="112"/>
      <c r="Q156" s="489"/>
      <c r="R156" s="490"/>
      <c r="S156" s="491"/>
      <c r="T156" s="492"/>
      <c r="U156" s="14"/>
      <c r="V156" s="14"/>
      <c r="W156" s="14"/>
      <c r="X156" s="14"/>
      <c r="Y156" s="3"/>
    </row>
    <row r="157" spans="2:25" ht="23.25" customHeight="1" thickBot="1" x14ac:dyDescent="0.3">
      <c r="B157" s="309" t="s">
        <v>287</v>
      </c>
      <c r="C157" s="329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1"/>
      <c r="Q157" s="372"/>
      <c r="R157" s="387"/>
      <c r="S157" s="368"/>
      <c r="T157" s="387"/>
      <c r="U157" s="14"/>
      <c r="V157" s="3"/>
      <c r="W157" s="3"/>
      <c r="X157" s="3"/>
      <c r="Y157" s="14"/>
    </row>
    <row r="158" spans="2:25" ht="50.25" customHeight="1" thickBot="1" x14ac:dyDescent="0.3">
      <c r="B158" s="180"/>
      <c r="C158" s="284">
        <v>80141600</v>
      </c>
      <c r="D158" s="288" t="s">
        <v>288</v>
      </c>
      <c r="E158" s="285" t="s">
        <v>187</v>
      </c>
      <c r="F158" s="285">
        <v>5</v>
      </c>
      <c r="G158" s="154" t="s">
        <v>259</v>
      </c>
      <c r="H158" s="286" t="s">
        <v>287</v>
      </c>
      <c r="I158" s="287">
        <v>34650000</v>
      </c>
      <c r="J158" s="287">
        <v>6000000</v>
      </c>
      <c r="K158" s="287">
        <v>30000000</v>
      </c>
      <c r="L158" s="285" t="s">
        <v>20</v>
      </c>
      <c r="M158" s="285" t="s">
        <v>20</v>
      </c>
      <c r="N158" s="289" t="s">
        <v>62</v>
      </c>
      <c r="Q158" s="493"/>
      <c r="R158" s="494"/>
      <c r="S158" s="494"/>
      <c r="T158" s="495"/>
      <c r="U158" s="496"/>
      <c r="V158" s="494"/>
      <c r="W158" s="494"/>
      <c r="X158" s="495"/>
      <c r="Y158" s="14"/>
    </row>
    <row r="159" spans="2:25" ht="23.25" customHeight="1" thickBot="1" x14ac:dyDescent="0.3">
      <c r="B159" s="144"/>
      <c r="C159" s="59"/>
      <c r="D159" s="87"/>
      <c r="E159" s="61"/>
      <c r="F159" s="61"/>
      <c r="G159" s="63"/>
      <c r="H159" s="63"/>
      <c r="I159" s="137"/>
      <c r="J159" s="135"/>
      <c r="K159" s="135">
        <f>SUM(K158)</f>
        <v>30000000</v>
      </c>
      <c r="L159" s="61"/>
      <c r="M159" s="61"/>
      <c r="N159" s="112"/>
      <c r="R159" s="246"/>
      <c r="T159" s="246"/>
      <c r="V159" s="246"/>
      <c r="W159" s="3"/>
      <c r="X159" s="246"/>
      <c r="Y159" s="14"/>
    </row>
    <row r="160" spans="2:25" ht="23.25" customHeight="1" thickBot="1" x14ac:dyDescent="0.3">
      <c r="B160" s="144"/>
      <c r="C160" s="59"/>
      <c r="D160" s="87"/>
      <c r="E160" s="61"/>
      <c r="F160" s="61"/>
      <c r="G160" s="63"/>
      <c r="H160" s="63"/>
      <c r="I160" s="137"/>
      <c r="J160" s="137"/>
      <c r="K160" s="137"/>
      <c r="L160" s="61"/>
      <c r="M160" s="61"/>
      <c r="N160" s="87"/>
      <c r="V160" s="3"/>
      <c r="W160" s="3"/>
      <c r="X160" s="3"/>
      <c r="Y160" s="14"/>
    </row>
    <row r="161" spans="2:25" ht="23.25" customHeight="1" thickBot="1" x14ac:dyDescent="0.3">
      <c r="B161" s="309" t="s">
        <v>256</v>
      </c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1"/>
      <c r="V161" s="3"/>
      <c r="W161" s="3"/>
      <c r="X161" s="3"/>
      <c r="Y161" s="3"/>
    </row>
    <row r="162" spans="2:25" ht="23.25" customHeight="1" x14ac:dyDescent="0.25">
      <c r="B162" s="185"/>
      <c r="C162" s="186">
        <v>93141808</v>
      </c>
      <c r="D162" s="187" t="s">
        <v>257</v>
      </c>
      <c r="E162" s="20" t="s">
        <v>258</v>
      </c>
      <c r="F162" s="20">
        <v>1</v>
      </c>
      <c r="G162" s="44" t="s">
        <v>259</v>
      </c>
      <c r="H162" s="20" t="s">
        <v>260</v>
      </c>
      <c r="I162" s="20"/>
      <c r="J162" s="188">
        <v>48000000</v>
      </c>
      <c r="K162" s="188">
        <v>48000000</v>
      </c>
      <c r="L162" s="20" t="s">
        <v>20</v>
      </c>
      <c r="M162" s="20" t="s">
        <v>20</v>
      </c>
      <c r="N162" s="46" t="s">
        <v>43</v>
      </c>
      <c r="Q162" s="421"/>
      <c r="R162" s="422"/>
      <c r="S162" s="390"/>
      <c r="T162" s="423"/>
      <c r="U162" s="497"/>
      <c r="V162" s="498"/>
      <c r="W162" s="498"/>
      <c r="X162" s="499"/>
      <c r="Y162" s="3"/>
    </row>
    <row r="163" spans="2:25" ht="23.25" customHeight="1" thickBot="1" x14ac:dyDescent="0.3">
      <c r="B163" s="189"/>
      <c r="C163" s="190">
        <v>80111504</v>
      </c>
      <c r="D163" s="174" t="s">
        <v>261</v>
      </c>
      <c r="E163" s="35" t="s">
        <v>221</v>
      </c>
      <c r="F163" s="35">
        <v>1</v>
      </c>
      <c r="G163" s="34" t="s">
        <v>259</v>
      </c>
      <c r="H163" s="34" t="s">
        <v>262</v>
      </c>
      <c r="I163" s="133">
        <v>55000000</v>
      </c>
      <c r="J163" s="133">
        <v>80000000</v>
      </c>
      <c r="K163" s="133">
        <v>80000000</v>
      </c>
      <c r="L163" s="35" t="s">
        <v>20</v>
      </c>
      <c r="M163" s="35" t="s">
        <v>20</v>
      </c>
      <c r="N163" s="38" t="s">
        <v>43</v>
      </c>
      <c r="Q163" s="383"/>
      <c r="R163" s="427"/>
      <c r="S163" s="362"/>
      <c r="T163" s="500"/>
      <c r="U163" s="501"/>
      <c r="V163" s="427"/>
      <c r="W163" s="427"/>
      <c r="X163" s="428"/>
      <c r="Y163" s="3"/>
    </row>
    <row r="164" spans="2:25" ht="22.5" customHeight="1" thickBot="1" x14ac:dyDescent="0.3">
      <c r="B164" s="84"/>
      <c r="C164" s="59"/>
      <c r="D164" s="87"/>
      <c r="E164" s="61"/>
      <c r="F164" s="61"/>
      <c r="G164" s="63"/>
      <c r="H164" s="63"/>
      <c r="I164" s="134"/>
      <c r="J164" s="135"/>
      <c r="K164" s="135">
        <f>SUM(K162:K163)</f>
        <v>128000000</v>
      </c>
      <c r="L164" s="61"/>
      <c r="M164" s="61"/>
      <c r="N164" s="63"/>
      <c r="Q164" s="2"/>
      <c r="R164" s="473">
        <v>0</v>
      </c>
      <c r="S164" s="292"/>
      <c r="T164" s="473">
        <v>0</v>
      </c>
      <c r="U164" s="2"/>
      <c r="V164" s="502"/>
      <c r="W164" s="14"/>
      <c r="X164" s="502"/>
      <c r="Y164" s="3"/>
    </row>
    <row r="165" spans="2:25" ht="23.25" customHeight="1" thickBot="1" x14ac:dyDescent="0.3">
      <c r="B165" s="84"/>
      <c r="C165" s="85"/>
      <c r="D165" s="85"/>
      <c r="E165" s="85"/>
      <c r="F165" s="85"/>
      <c r="G165" s="85"/>
      <c r="H165" s="136"/>
      <c r="I165" s="191" t="e">
        <f>I163+I154+I151+I146+I142+I137+I130+I126+I109+#REF!+#REF!+#REF!</f>
        <v>#REF!</v>
      </c>
      <c r="J165" s="192"/>
      <c r="K165" s="192"/>
      <c r="L165" s="144"/>
      <c r="M165" s="144"/>
      <c r="N165" s="87"/>
    </row>
    <row r="166" spans="2:25" ht="44.25" customHeight="1" thickBot="1" x14ac:dyDescent="0.3">
      <c r="B166" s="144"/>
      <c r="C166" s="85"/>
      <c r="D166" s="85"/>
      <c r="E166" s="85"/>
      <c r="F166" s="85"/>
      <c r="G166" s="85"/>
      <c r="H166" s="85"/>
      <c r="I166" s="85"/>
      <c r="J166" s="136" t="s">
        <v>263</v>
      </c>
      <c r="K166" s="245">
        <f>(K41+K64+K91+K100+K109+K126+K130+K137+K142+K146+K151+K155+K159+K164)</f>
        <v>74234917199.580002</v>
      </c>
      <c r="L166" s="193"/>
      <c r="M166" s="85"/>
      <c r="N166" s="87"/>
    </row>
    <row r="167" spans="2:25" x14ac:dyDescent="0.25">
      <c r="B167" s="194"/>
      <c r="C167" s="3"/>
      <c r="D167" s="3"/>
      <c r="E167" s="3"/>
      <c r="F167" s="3"/>
      <c r="G167" s="3"/>
      <c r="H167" s="3"/>
      <c r="I167" s="3"/>
      <c r="J167" s="3"/>
      <c r="K167" s="195"/>
      <c r="L167" s="11"/>
      <c r="M167" s="11"/>
      <c r="N167" s="14"/>
      <c r="O167" s="1"/>
      <c r="P167" s="1"/>
    </row>
    <row r="168" spans="2:25" x14ac:dyDescent="0.25">
      <c r="B168" s="19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2"/>
      <c r="O168" s="1"/>
      <c r="P168" s="1"/>
    </row>
    <row r="169" spans="2:25" x14ac:dyDescent="0.25">
      <c r="B169" s="194"/>
      <c r="C169" s="3"/>
      <c r="D169" s="196"/>
      <c r="E169" s="197"/>
      <c r="F169" s="197"/>
      <c r="G169" s="197"/>
      <c r="H169" s="197"/>
      <c r="I169" s="198"/>
      <c r="J169" s="199"/>
      <c r="K169" s="199"/>
      <c r="L169" s="3"/>
      <c r="M169" s="3"/>
      <c r="N169" s="2"/>
      <c r="O169" s="1"/>
      <c r="P169" s="1"/>
    </row>
    <row r="170" spans="2:25" x14ac:dyDescent="0.25">
      <c r="B170" s="194"/>
      <c r="C170" s="3"/>
      <c r="D170" s="556" t="s">
        <v>465</v>
      </c>
      <c r="E170" s="197"/>
      <c r="F170" s="197"/>
      <c r="K170" s="197"/>
      <c r="L170" s="3"/>
      <c r="M170" s="197"/>
      <c r="N170" s="2"/>
      <c r="O170" s="1"/>
      <c r="P170" s="1"/>
    </row>
    <row r="171" spans="2:25" x14ac:dyDescent="0.25">
      <c r="B171" s="194"/>
      <c r="C171" s="3"/>
      <c r="D171" s="556" t="s">
        <v>466</v>
      </c>
      <c r="E171" s="197"/>
      <c r="F171" s="197"/>
      <c r="K171" s="197"/>
      <c r="L171" s="3"/>
      <c r="M171" s="197"/>
      <c r="N171" s="2"/>
      <c r="O171" s="1"/>
      <c r="P171" s="1"/>
    </row>
    <row r="172" spans="2:25" x14ac:dyDescent="0.25">
      <c r="B172" s="3"/>
      <c r="C172" s="3"/>
      <c r="D172" s="557"/>
      <c r="E172" s="197"/>
      <c r="F172" s="197"/>
      <c r="G172" s="197"/>
      <c r="H172" s="197"/>
      <c r="I172" s="197"/>
      <c r="K172" s="199"/>
      <c r="L172" s="3"/>
      <c r="M172" s="197"/>
      <c r="O172" s="1"/>
      <c r="P172" s="1"/>
    </row>
    <row r="173" spans="2:25" x14ac:dyDescent="0.25">
      <c r="B173" s="3"/>
      <c r="D173" s="557"/>
      <c r="E173" s="200"/>
      <c r="F173" s="200"/>
      <c r="G173" s="201"/>
      <c r="H173" s="200"/>
      <c r="I173" s="200"/>
      <c r="K173" s="200"/>
      <c r="O173" s="1"/>
      <c r="P173" s="1"/>
    </row>
    <row r="174" spans="2:25" x14ac:dyDescent="0.25">
      <c r="B174" s="3"/>
      <c r="D174" s="558" t="s">
        <v>264</v>
      </c>
      <c r="E174" s="200"/>
      <c r="F174" s="200"/>
      <c r="G174" s="200"/>
      <c r="H174" s="200"/>
      <c r="I174" s="200"/>
      <c r="K174" s="200"/>
      <c r="O174" s="1"/>
      <c r="P174" s="1"/>
    </row>
    <row r="175" spans="2:25" x14ac:dyDescent="0.25">
      <c r="B175" s="3"/>
      <c r="D175" s="558" t="s">
        <v>265</v>
      </c>
      <c r="E175" s="200"/>
      <c r="F175" s="200"/>
      <c r="G175" s="200"/>
      <c r="H175" s="200"/>
      <c r="I175" s="200"/>
      <c r="K175" s="200"/>
      <c r="O175" s="1"/>
      <c r="P175" s="1"/>
    </row>
    <row r="178" spans="5:16" x14ac:dyDescent="0.25">
      <c r="E178" s="202"/>
      <c r="F178" s="202"/>
      <c r="G178" s="203"/>
      <c r="O178" s="1"/>
      <c r="P178" s="1"/>
    </row>
    <row r="179" spans="5:16" x14ac:dyDescent="0.25">
      <c r="E179" s="202"/>
      <c r="F179" s="202"/>
      <c r="G179" s="203"/>
      <c r="O179" s="1"/>
      <c r="P179" s="1"/>
    </row>
  </sheetData>
  <mergeCells count="36">
    <mergeCell ref="Q8:T8"/>
    <mergeCell ref="U8:X8"/>
    <mergeCell ref="B148:N148"/>
    <mergeCell ref="B153:N153"/>
    <mergeCell ref="B161:N161"/>
    <mergeCell ref="B105:B108"/>
    <mergeCell ref="B111:N111"/>
    <mergeCell ref="C128:M128"/>
    <mergeCell ref="B132:N132"/>
    <mergeCell ref="B139:N139"/>
    <mergeCell ref="B144:N144"/>
    <mergeCell ref="B157:N157"/>
    <mergeCell ref="B47:B48"/>
    <mergeCell ref="B103:B104"/>
    <mergeCell ref="B50:B51"/>
    <mergeCell ref="B53:B54"/>
    <mergeCell ref="B55:B56"/>
    <mergeCell ref="B57:B60"/>
    <mergeCell ref="B61:B63"/>
    <mergeCell ref="B67:B90"/>
    <mergeCell ref="B93:N93"/>
    <mergeCell ref="B94:B97"/>
    <mergeCell ref="B98:B99"/>
    <mergeCell ref="B102:N102"/>
    <mergeCell ref="C66:M66"/>
    <mergeCell ref="B29:B35"/>
    <mergeCell ref="B36:B38"/>
    <mergeCell ref="B39:B40"/>
    <mergeCell ref="B43:N43"/>
    <mergeCell ref="B44:B46"/>
    <mergeCell ref="B27:B28"/>
    <mergeCell ref="B7:M7"/>
    <mergeCell ref="B8:M8"/>
    <mergeCell ref="B10:B15"/>
    <mergeCell ref="B16:B17"/>
    <mergeCell ref="B18:B25"/>
  </mergeCells>
  <pageMargins left="0.70866141732283472" right="0.70866141732283472" top="0.74803149606299213" bottom="0.74803149606299213" header="0.31496062992125984" footer="0.31496062992125984"/>
  <pageSetup paperSize="258" scale="4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4"/>
  <sheetViews>
    <sheetView workbookViewId="0">
      <selection activeCell="F3" sqref="F3"/>
    </sheetView>
  </sheetViews>
  <sheetFormatPr baseColWidth="10" defaultRowHeight="15" x14ac:dyDescent="0.25"/>
  <cols>
    <col min="2" max="2" width="20.140625" customWidth="1"/>
    <col min="3" max="3" width="22.5703125" customWidth="1"/>
    <col min="4" max="4" width="21.85546875" customWidth="1"/>
    <col min="5" max="5" width="12.140625" customWidth="1"/>
    <col min="6" max="6" width="22.140625" customWidth="1"/>
    <col min="7" max="7" width="12.5703125" customWidth="1"/>
    <col min="8" max="8" width="22.28515625" customWidth="1"/>
    <col min="9" max="9" width="22.42578125" customWidth="1"/>
    <col min="11" max="11" width="21.42578125" customWidth="1"/>
    <col min="12" max="12" width="15.140625" customWidth="1"/>
    <col min="254" max="254" width="20.140625" customWidth="1"/>
    <col min="255" max="255" width="23.140625" customWidth="1"/>
    <col min="256" max="256" width="21.85546875" customWidth="1"/>
    <col min="257" max="257" width="18.7109375" bestFit="1" customWidth="1"/>
    <col min="258" max="258" width="21.42578125" customWidth="1"/>
    <col min="259" max="259" width="24.7109375" customWidth="1"/>
    <col min="260" max="260" width="21.28515625" customWidth="1"/>
    <col min="261" max="261" width="12.140625" customWidth="1"/>
    <col min="262" max="262" width="22.85546875" customWidth="1"/>
    <col min="263" max="263" width="12.5703125" customWidth="1"/>
    <col min="510" max="510" width="20.140625" customWidth="1"/>
    <col min="511" max="511" width="23.140625" customWidth="1"/>
    <col min="512" max="512" width="21.85546875" customWidth="1"/>
    <col min="513" max="513" width="18.7109375" bestFit="1" customWidth="1"/>
    <col min="514" max="514" width="21.42578125" customWidth="1"/>
    <col min="515" max="515" width="24.7109375" customWidth="1"/>
    <col min="516" max="516" width="21.28515625" customWidth="1"/>
    <col min="517" max="517" width="12.140625" customWidth="1"/>
    <col min="518" max="518" width="22.85546875" customWidth="1"/>
    <col min="519" max="519" width="12.5703125" customWidth="1"/>
    <col min="766" max="766" width="20.140625" customWidth="1"/>
    <col min="767" max="767" width="23.140625" customWidth="1"/>
    <col min="768" max="768" width="21.85546875" customWidth="1"/>
    <col min="769" max="769" width="18.7109375" bestFit="1" customWidth="1"/>
    <col min="770" max="770" width="21.42578125" customWidth="1"/>
    <col min="771" max="771" width="24.7109375" customWidth="1"/>
    <col min="772" max="772" width="21.28515625" customWidth="1"/>
    <col min="773" max="773" width="12.140625" customWidth="1"/>
    <col min="774" max="774" width="22.85546875" customWidth="1"/>
    <col min="775" max="775" width="12.5703125" customWidth="1"/>
    <col min="1022" max="1022" width="20.140625" customWidth="1"/>
    <col min="1023" max="1023" width="23.140625" customWidth="1"/>
    <col min="1024" max="1024" width="21.85546875" customWidth="1"/>
    <col min="1025" max="1025" width="18.7109375" bestFit="1" customWidth="1"/>
    <col min="1026" max="1026" width="21.42578125" customWidth="1"/>
    <col min="1027" max="1027" width="24.7109375" customWidth="1"/>
    <col min="1028" max="1028" width="21.28515625" customWidth="1"/>
    <col min="1029" max="1029" width="12.140625" customWidth="1"/>
    <col min="1030" max="1030" width="22.85546875" customWidth="1"/>
    <col min="1031" max="1031" width="12.5703125" customWidth="1"/>
    <col min="1278" max="1278" width="20.140625" customWidth="1"/>
    <col min="1279" max="1279" width="23.140625" customWidth="1"/>
    <col min="1280" max="1280" width="21.85546875" customWidth="1"/>
    <col min="1281" max="1281" width="18.7109375" bestFit="1" customWidth="1"/>
    <col min="1282" max="1282" width="21.42578125" customWidth="1"/>
    <col min="1283" max="1283" width="24.7109375" customWidth="1"/>
    <col min="1284" max="1284" width="21.28515625" customWidth="1"/>
    <col min="1285" max="1285" width="12.140625" customWidth="1"/>
    <col min="1286" max="1286" width="22.85546875" customWidth="1"/>
    <col min="1287" max="1287" width="12.5703125" customWidth="1"/>
    <col min="1534" max="1534" width="20.140625" customWidth="1"/>
    <col min="1535" max="1535" width="23.140625" customWidth="1"/>
    <col min="1536" max="1536" width="21.85546875" customWidth="1"/>
    <col min="1537" max="1537" width="18.7109375" bestFit="1" customWidth="1"/>
    <col min="1538" max="1538" width="21.42578125" customWidth="1"/>
    <col min="1539" max="1539" width="24.7109375" customWidth="1"/>
    <col min="1540" max="1540" width="21.28515625" customWidth="1"/>
    <col min="1541" max="1541" width="12.140625" customWidth="1"/>
    <col min="1542" max="1542" width="22.85546875" customWidth="1"/>
    <col min="1543" max="1543" width="12.5703125" customWidth="1"/>
    <col min="1790" max="1790" width="20.140625" customWidth="1"/>
    <col min="1791" max="1791" width="23.140625" customWidth="1"/>
    <col min="1792" max="1792" width="21.85546875" customWidth="1"/>
    <col min="1793" max="1793" width="18.7109375" bestFit="1" customWidth="1"/>
    <col min="1794" max="1794" width="21.42578125" customWidth="1"/>
    <col min="1795" max="1795" width="24.7109375" customWidth="1"/>
    <col min="1796" max="1796" width="21.28515625" customWidth="1"/>
    <col min="1797" max="1797" width="12.140625" customWidth="1"/>
    <col min="1798" max="1798" width="22.85546875" customWidth="1"/>
    <col min="1799" max="1799" width="12.5703125" customWidth="1"/>
    <col min="2046" max="2046" width="20.140625" customWidth="1"/>
    <col min="2047" max="2047" width="23.140625" customWidth="1"/>
    <col min="2048" max="2048" width="21.85546875" customWidth="1"/>
    <col min="2049" max="2049" width="18.7109375" bestFit="1" customWidth="1"/>
    <col min="2050" max="2050" width="21.42578125" customWidth="1"/>
    <col min="2051" max="2051" width="24.7109375" customWidth="1"/>
    <col min="2052" max="2052" width="21.28515625" customWidth="1"/>
    <col min="2053" max="2053" width="12.140625" customWidth="1"/>
    <col min="2054" max="2054" width="22.85546875" customWidth="1"/>
    <col min="2055" max="2055" width="12.5703125" customWidth="1"/>
    <col min="2302" max="2302" width="20.140625" customWidth="1"/>
    <col min="2303" max="2303" width="23.140625" customWidth="1"/>
    <col min="2304" max="2304" width="21.85546875" customWidth="1"/>
    <col min="2305" max="2305" width="18.7109375" bestFit="1" customWidth="1"/>
    <col min="2306" max="2306" width="21.42578125" customWidth="1"/>
    <col min="2307" max="2307" width="24.7109375" customWidth="1"/>
    <col min="2308" max="2308" width="21.28515625" customWidth="1"/>
    <col min="2309" max="2309" width="12.140625" customWidth="1"/>
    <col min="2310" max="2310" width="22.85546875" customWidth="1"/>
    <col min="2311" max="2311" width="12.5703125" customWidth="1"/>
    <col min="2558" max="2558" width="20.140625" customWidth="1"/>
    <col min="2559" max="2559" width="23.140625" customWidth="1"/>
    <col min="2560" max="2560" width="21.85546875" customWidth="1"/>
    <col min="2561" max="2561" width="18.7109375" bestFit="1" customWidth="1"/>
    <col min="2562" max="2562" width="21.42578125" customWidth="1"/>
    <col min="2563" max="2563" width="24.7109375" customWidth="1"/>
    <col min="2564" max="2564" width="21.28515625" customWidth="1"/>
    <col min="2565" max="2565" width="12.140625" customWidth="1"/>
    <col min="2566" max="2566" width="22.85546875" customWidth="1"/>
    <col min="2567" max="2567" width="12.5703125" customWidth="1"/>
    <col min="2814" max="2814" width="20.140625" customWidth="1"/>
    <col min="2815" max="2815" width="23.140625" customWidth="1"/>
    <col min="2816" max="2816" width="21.85546875" customWidth="1"/>
    <col min="2817" max="2817" width="18.7109375" bestFit="1" customWidth="1"/>
    <col min="2818" max="2818" width="21.42578125" customWidth="1"/>
    <col min="2819" max="2819" width="24.7109375" customWidth="1"/>
    <col min="2820" max="2820" width="21.28515625" customWidth="1"/>
    <col min="2821" max="2821" width="12.140625" customWidth="1"/>
    <col min="2822" max="2822" width="22.85546875" customWidth="1"/>
    <col min="2823" max="2823" width="12.5703125" customWidth="1"/>
    <col min="3070" max="3070" width="20.140625" customWidth="1"/>
    <col min="3071" max="3071" width="23.140625" customWidth="1"/>
    <col min="3072" max="3072" width="21.85546875" customWidth="1"/>
    <col min="3073" max="3073" width="18.7109375" bestFit="1" customWidth="1"/>
    <col min="3074" max="3074" width="21.42578125" customWidth="1"/>
    <col min="3075" max="3075" width="24.7109375" customWidth="1"/>
    <col min="3076" max="3076" width="21.28515625" customWidth="1"/>
    <col min="3077" max="3077" width="12.140625" customWidth="1"/>
    <col min="3078" max="3078" width="22.85546875" customWidth="1"/>
    <col min="3079" max="3079" width="12.5703125" customWidth="1"/>
    <col min="3326" max="3326" width="20.140625" customWidth="1"/>
    <col min="3327" max="3327" width="23.140625" customWidth="1"/>
    <col min="3328" max="3328" width="21.85546875" customWidth="1"/>
    <col min="3329" max="3329" width="18.7109375" bestFit="1" customWidth="1"/>
    <col min="3330" max="3330" width="21.42578125" customWidth="1"/>
    <col min="3331" max="3331" width="24.7109375" customWidth="1"/>
    <col min="3332" max="3332" width="21.28515625" customWidth="1"/>
    <col min="3333" max="3333" width="12.140625" customWidth="1"/>
    <col min="3334" max="3334" width="22.85546875" customWidth="1"/>
    <col min="3335" max="3335" width="12.5703125" customWidth="1"/>
    <col min="3582" max="3582" width="20.140625" customWidth="1"/>
    <col min="3583" max="3583" width="23.140625" customWidth="1"/>
    <col min="3584" max="3584" width="21.85546875" customWidth="1"/>
    <col min="3585" max="3585" width="18.7109375" bestFit="1" customWidth="1"/>
    <col min="3586" max="3586" width="21.42578125" customWidth="1"/>
    <col min="3587" max="3587" width="24.7109375" customWidth="1"/>
    <col min="3588" max="3588" width="21.28515625" customWidth="1"/>
    <col min="3589" max="3589" width="12.140625" customWidth="1"/>
    <col min="3590" max="3590" width="22.85546875" customWidth="1"/>
    <col min="3591" max="3591" width="12.5703125" customWidth="1"/>
    <col min="3838" max="3838" width="20.140625" customWidth="1"/>
    <col min="3839" max="3839" width="23.140625" customWidth="1"/>
    <col min="3840" max="3840" width="21.85546875" customWidth="1"/>
    <col min="3841" max="3841" width="18.7109375" bestFit="1" customWidth="1"/>
    <col min="3842" max="3842" width="21.42578125" customWidth="1"/>
    <col min="3843" max="3843" width="24.7109375" customWidth="1"/>
    <col min="3844" max="3844" width="21.28515625" customWidth="1"/>
    <col min="3845" max="3845" width="12.140625" customWidth="1"/>
    <col min="3846" max="3846" width="22.85546875" customWidth="1"/>
    <col min="3847" max="3847" width="12.5703125" customWidth="1"/>
    <col min="4094" max="4094" width="20.140625" customWidth="1"/>
    <col min="4095" max="4095" width="23.140625" customWidth="1"/>
    <col min="4096" max="4096" width="21.85546875" customWidth="1"/>
    <col min="4097" max="4097" width="18.7109375" bestFit="1" customWidth="1"/>
    <col min="4098" max="4098" width="21.42578125" customWidth="1"/>
    <col min="4099" max="4099" width="24.7109375" customWidth="1"/>
    <col min="4100" max="4100" width="21.28515625" customWidth="1"/>
    <col min="4101" max="4101" width="12.140625" customWidth="1"/>
    <col min="4102" max="4102" width="22.85546875" customWidth="1"/>
    <col min="4103" max="4103" width="12.5703125" customWidth="1"/>
    <col min="4350" max="4350" width="20.140625" customWidth="1"/>
    <col min="4351" max="4351" width="23.140625" customWidth="1"/>
    <col min="4352" max="4352" width="21.85546875" customWidth="1"/>
    <col min="4353" max="4353" width="18.7109375" bestFit="1" customWidth="1"/>
    <col min="4354" max="4354" width="21.42578125" customWidth="1"/>
    <col min="4355" max="4355" width="24.7109375" customWidth="1"/>
    <col min="4356" max="4356" width="21.28515625" customWidth="1"/>
    <col min="4357" max="4357" width="12.140625" customWidth="1"/>
    <col min="4358" max="4358" width="22.85546875" customWidth="1"/>
    <col min="4359" max="4359" width="12.5703125" customWidth="1"/>
    <col min="4606" max="4606" width="20.140625" customWidth="1"/>
    <col min="4607" max="4607" width="23.140625" customWidth="1"/>
    <col min="4608" max="4608" width="21.85546875" customWidth="1"/>
    <col min="4609" max="4609" width="18.7109375" bestFit="1" customWidth="1"/>
    <col min="4610" max="4610" width="21.42578125" customWidth="1"/>
    <col min="4611" max="4611" width="24.7109375" customWidth="1"/>
    <col min="4612" max="4612" width="21.28515625" customWidth="1"/>
    <col min="4613" max="4613" width="12.140625" customWidth="1"/>
    <col min="4614" max="4614" width="22.85546875" customWidth="1"/>
    <col min="4615" max="4615" width="12.5703125" customWidth="1"/>
    <col min="4862" max="4862" width="20.140625" customWidth="1"/>
    <col min="4863" max="4863" width="23.140625" customWidth="1"/>
    <col min="4864" max="4864" width="21.85546875" customWidth="1"/>
    <col min="4865" max="4865" width="18.7109375" bestFit="1" customWidth="1"/>
    <col min="4866" max="4866" width="21.42578125" customWidth="1"/>
    <col min="4867" max="4867" width="24.7109375" customWidth="1"/>
    <col min="4868" max="4868" width="21.28515625" customWidth="1"/>
    <col min="4869" max="4869" width="12.140625" customWidth="1"/>
    <col min="4870" max="4870" width="22.85546875" customWidth="1"/>
    <col min="4871" max="4871" width="12.5703125" customWidth="1"/>
    <col min="5118" max="5118" width="20.140625" customWidth="1"/>
    <col min="5119" max="5119" width="23.140625" customWidth="1"/>
    <col min="5120" max="5120" width="21.85546875" customWidth="1"/>
    <col min="5121" max="5121" width="18.7109375" bestFit="1" customWidth="1"/>
    <col min="5122" max="5122" width="21.42578125" customWidth="1"/>
    <col min="5123" max="5123" width="24.7109375" customWidth="1"/>
    <col min="5124" max="5124" width="21.28515625" customWidth="1"/>
    <col min="5125" max="5125" width="12.140625" customWidth="1"/>
    <col min="5126" max="5126" width="22.85546875" customWidth="1"/>
    <col min="5127" max="5127" width="12.5703125" customWidth="1"/>
    <col min="5374" max="5374" width="20.140625" customWidth="1"/>
    <col min="5375" max="5375" width="23.140625" customWidth="1"/>
    <col min="5376" max="5376" width="21.85546875" customWidth="1"/>
    <col min="5377" max="5377" width="18.7109375" bestFit="1" customWidth="1"/>
    <col min="5378" max="5378" width="21.42578125" customWidth="1"/>
    <col min="5379" max="5379" width="24.7109375" customWidth="1"/>
    <col min="5380" max="5380" width="21.28515625" customWidth="1"/>
    <col min="5381" max="5381" width="12.140625" customWidth="1"/>
    <col min="5382" max="5382" width="22.85546875" customWidth="1"/>
    <col min="5383" max="5383" width="12.5703125" customWidth="1"/>
    <col min="5630" max="5630" width="20.140625" customWidth="1"/>
    <col min="5631" max="5631" width="23.140625" customWidth="1"/>
    <col min="5632" max="5632" width="21.85546875" customWidth="1"/>
    <col min="5633" max="5633" width="18.7109375" bestFit="1" customWidth="1"/>
    <col min="5634" max="5634" width="21.42578125" customWidth="1"/>
    <col min="5635" max="5635" width="24.7109375" customWidth="1"/>
    <col min="5636" max="5636" width="21.28515625" customWidth="1"/>
    <col min="5637" max="5637" width="12.140625" customWidth="1"/>
    <col min="5638" max="5638" width="22.85546875" customWidth="1"/>
    <col min="5639" max="5639" width="12.5703125" customWidth="1"/>
    <col min="5886" max="5886" width="20.140625" customWidth="1"/>
    <col min="5887" max="5887" width="23.140625" customWidth="1"/>
    <col min="5888" max="5888" width="21.85546875" customWidth="1"/>
    <col min="5889" max="5889" width="18.7109375" bestFit="1" customWidth="1"/>
    <col min="5890" max="5890" width="21.42578125" customWidth="1"/>
    <col min="5891" max="5891" width="24.7109375" customWidth="1"/>
    <col min="5892" max="5892" width="21.28515625" customWidth="1"/>
    <col min="5893" max="5893" width="12.140625" customWidth="1"/>
    <col min="5894" max="5894" width="22.85546875" customWidth="1"/>
    <col min="5895" max="5895" width="12.5703125" customWidth="1"/>
    <col min="6142" max="6142" width="20.140625" customWidth="1"/>
    <col min="6143" max="6143" width="23.140625" customWidth="1"/>
    <col min="6144" max="6144" width="21.85546875" customWidth="1"/>
    <col min="6145" max="6145" width="18.7109375" bestFit="1" customWidth="1"/>
    <col min="6146" max="6146" width="21.42578125" customWidth="1"/>
    <col min="6147" max="6147" width="24.7109375" customWidth="1"/>
    <col min="6148" max="6148" width="21.28515625" customWidth="1"/>
    <col min="6149" max="6149" width="12.140625" customWidth="1"/>
    <col min="6150" max="6150" width="22.85546875" customWidth="1"/>
    <col min="6151" max="6151" width="12.5703125" customWidth="1"/>
    <col min="6398" max="6398" width="20.140625" customWidth="1"/>
    <col min="6399" max="6399" width="23.140625" customWidth="1"/>
    <col min="6400" max="6400" width="21.85546875" customWidth="1"/>
    <col min="6401" max="6401" width="18.7109375" bestFit="1" customWidth="1"/>
    <col min="6402" max="6402" width="21.42578125" customWidth="1"/>
    <col min="6403" max="6403" width="24.7109375" customWidth="1"/>
    <col min="6404" max="6404" width="21.28515625" customWidth="1"/>
    <col min="6405" max="6405" width="12.140625" customWidth="1"/>
    <col min="6406" max="6406" width="22.85546875" customWidth="1"/>
    <col min="6407" max="6407" width="12.5703125" customWidth="1"/>
    <col min="6654" max="6654" width="20.140625" customWidth="1"/>
    <col min="6655" max="6655" width="23.140625" customWidth="1"/>
    <col min="6656" max="6656" width="21.85546875" customWidth="1"/>
    <col min="6657" max="6657" width="18.7109375" bestFit="1" customWidth="1"/>
    <col min="6658" max="6658" width="21.42578125" customWidth="1"/>
    <col min="6659" max="6659" width="24.7109375" customWidth="1"/>
    <col min="6660" max="6660" width="21.28515625" customWidth="1"/>
    <col min="6661" max="6661" width="12.140625" customWidth="1"/>
    <col min="6662" max="6662" width="22.85546875" customWidth="1"/>
    <col min="6663" max="6663" width="12.5703125" customWidth="1"/>
    <col min="6910" max="6910" width="20.140625" customWidth="1"/>
    <col min="6911" max="6911" width="23.140625" customWidth="1"/>
    <col min="6912" max="6912" width="21.85546875" customWidth="1"/>
    <col min="6913" max="6913" width="18.7109375" bestFit="1" customWidth="1"/>
    <col min="6914" max="6914" width="21.42578125" customWidth="1"/>
    <col min="6915" max="6915" width="24.7109375" customWidth="1"/>
    <col min="6916" max="6916" width="21.28515625" customWidth="1"/>
    <col min="6917" max="6917" width="12.140625" customWidth="1"/>
    <col min="6918" max="6918" width="22.85546875" customWidth="1"/>
    <col min="6919" max="6919" width="12.5703125" customWidth="1"/>
    <col min="7166" max="7166" width="20.140625" customWidth="1"/>
    <col min="7167" max="7167" width="23.140625" customWidth="1"/>
    <col min="7168" max="7168" width="21.85546875" customWidth="1"/>
    <col min="7169" max="7169" width="18.7109375" bestFit="1" customWidth="1"/>
    <col min="7170" max="7170" width="21.42578125" customWidth="1"/>
    <col min="7171" max="7171" width="24.7109375" customWidth="1"/>
    <col min="7172" max="7172" width="21.28515625" customWidth="1"/>
    <col min="7173" max="7173" width="12.140625" customWidth="1"/>
    <col min="7174" max="7174" width="22.85546875" customWidth="1"/>
    <col min="7175" max="7175" width="12.5703125" customWidth="1"/>
    <col min="7422" max="7422" width="20.140625" customWidth="1"/>
    <col min="7423" max="7423" width="23.140625" customWidth="1"/>
    <col min="7424" max="7424" width="21.85546875" customWidth="1"/>
    <col min="7425" max="7425" width="18.7109375" bestFit="1" customWidth="1"/>
    <col min="7426" max="7426" width="21.42578125" customWidth="1"/>
    <col min="7427" max="7427" width="24.7109375" customWidth="1"/>
    <col min="7428" max="7428" width="21.28515625" customWidth="1"/>
    <col min="7429" max="7429" width="12.140625" customWidth="1"/>
    <col min="7430" max="7430" width="22.85546875" customWidth="1"/>
    <col min="7431" max="7431" width="12.5703125" customWidth="1"/>
    <col min="7678" max="7678" width="20.140625" customWidth="1"/>
    <col min="7679" max="7679" width="23.140625" customWidth="1"/>
    <col min="7680" max="7680" width="21.85546875" customWidth="1"/>
    <col min="7681" max="7681" width="18.7109375" bestFit="1" customWidth="1"/>
    <col min="7682" max="7682" width="21.42578125" customWidth="1"/>
    <col min="7683" max="7683" width="24.7109375" customWidth="1"/>
    <col min="7684" max="7684" width="21.28515625" customWidth="1"/>
    <col min="7685" max="7685" width="12.140625" customWidth="1"/>
    <col min="7686" max="7686" width="22.85546875" customWidth="1"/>
    <col min="7687" max="7687" width="12.5703125" customWidth="1"/>
    <col min="7934" max="7934" width="20.140625" customWidth="1"/>
    <col min="7935" max="7935" width="23.140625" customWidth="1"/>
    <col min="7936" max="7936" width="21.85546875" customWidth="1"/>
    <col min="7937" max="7937" width="18.7109375" bestFit="1" customWidth="1"/>
    <col min="7938" max="7938" width="21.42578125" customWidth="1"/>
    <col min="7939" max="7939" width="24.7109375" customWidth="1"/>
    <col min="7940" max="7940" width="21.28515625" customWidth="1"/>
    <col min="7941" max="7941" width="12.140625" customWidth="1"/>
    <col min="7942" max="7942" width="22.85546875" customWidth="1"/>
    <col min="7943" max="7943" width="12.5703125" customWidth="1"/>
    <col min="8190" max="8190" width="20.140625" customWidth="1"/>
    <col min="8191" max="8191" width="23.140625" customWidth="1"/>
    <col min="8192" max="8192" width="21.85546875" customWidth="1"/>
    <col min="8193" max="8193" width="18.7109375" bestFit="1" customWidth="1"/>
    <col min="8194" max="8194" width="21.42578125" customWidth="1"/>
    <col min="8195" max="8195" width="24.7109375" customWidth="1"/>
    <col min="8196" max="8196" width="21.28515625" customWidth="1"/>
    <col min="8197" max="8197" width="12.140625" customWidth="1"/>
    <col min="8198" max="8198" width="22.85546875" customWidth="1"/>
    <col min="8199" max="8199" width="12.5703125" customWidth="1"/>
    <col min="8446" max="8446" width="20.140625" customWidth="1"/>
    <col min="8447" max="8447" width="23.140625" customWidth="1"/>
    <col min="8448" max="8448" width="21.85546875" customWidth="1"/>
    <col min="8449" max="8449" width="18.7109375" bestFit="1" customWidth="1"/>
    <col min="8450" max="8450" width="21.42578125" customWidth="1"/>
    <col min="8451" max="8451" width="24.7109375" customWidth="1"/>
    <col min="8452" max="8452" width="21.28515625" customWidth="1"/>
    <col min="8453" max="8453" width="12.140625" customWidth="1"/>
    <col min="8454" max="8454" width="22.85546875" customWidth="1"/>
    <col min="8455" max="8455" width="12.5703125" customWidth="1"/>
    <col min="8702" max="8702" width="20.140625" customWidth="1"/>
    <col min="8703" max="8703" width="23.140625" customWidth="1"/>
    <col min="8704" max="8704" width="21.85546875" customWidth="1"/>
    <col min="8705" max="8705" width="18.7109375" bestFit="1" customWidth="1"/>
    <col min="8706" max="8706" width="21.42578125" customWidth="1"/>
    <col min="8707" max="8707" width="24.7109375" customWidth="1"/>
    <col min="8708" max="8708" width="21.28515625" customWidth="1"/>
    <col min="8709" max="8709" width="12.140625" customWidth="1"/>
    <col min="8710" max="8710" width="22.85546875" customWidth="1"/>
    <col min="8711" max="8711" width="12.5703125" customWidth="1"/>
    <col min="8958" max="8958" width="20.140625" customWidth="1"/>
    <col min="8959" max="8959" width="23.140625" customWidth="1"/>
    <col min="8960" max="8960" width="21.85546875" customWidth="1"/>
    <col min="8961" max="8961" width="18.7109375" bestFit="1" customWidth="1"/>
    <col min="8962" max="8962" width="21.42578125" customWidth="1"/>
    <col min="8963" max="8963" width="24.7109375" customWidth="1"/>
    <col min="8964" max="8964" width="21.28515625" customWidth="1"/>
    <col min="8965" max="8965" width="12.140625" customWidth="1"/>
    <col min="8966" max="8966" width="22.85546875" customWidth="1"/>
    <col min="8967" max="8967" width="12.5703125" customWidth="1"/>
    <col min="9214" max="9214" width="20.140625" customWidth="1"/>
    <col min="9215" max="9215" width="23.140625" customWidth="1"/>
    <col min="9216" max="9216" width="21.85546875" customWidth="1"/>
    <col min="9217" max="9217" width="18.7109375" bestFit="1" customWidth="1"/>
    <col min="9218" max="9218" width="21.42578125" customWidth="1"/>
    <col min="9219" max="9219" width="24.7109375" customWidth="1"/>
    <col min="9220" max="9220" width="21.28515625" customWidth="1"/>
    <col min="9221" max="9221" width="12.140625" customWidth="1"/>
    <col min="9222" max="9222" width="22.85546875" customWidth="1"/>
    <col min="9223" max="9223" width="12.5703125" customWidth="1"/>
    <col min="9470" max="9470" width="20.140625" customWidth="1"/>
    <col min="9471" max="9471" width="23.140625" customWidth="1"/>
    <col min="9472" max="9472" width="21.85546875" customWidth="1"/>
    <col min="9473" max="9473" width="18.7109375" bestFit="1" customWidth="1"/>
    <col min="9474" max="9474" width="21.42578125" customWidth="1"/>
    <col min="9475" max="9475" width="24.7109375" customWidth="1"/>
    <col min="9476" max="9476" width="21.28515625" customWidth="1"/>
    <col min="9477" max="9477" width="12.140625" customWidth="1"/>
    <col min="9478" max="9478" width="22.85546875" customWidth="1"/>
    <col min="9479" max="9479" width="12.5703125" customWidth="1"/>
    <col min="9726" max="9726" width="20.140625" customWidth="1"/>
    <col min="9727" max="9727" width="23.140625" customWidth="1"/>
    <col min="9728" max="9728" width="21.85546875" customWidth="1"/>
    <col min="9729" max="9729" width="18.7109375" bestFit="1" customWidth="1"/>
    <col min="9730" max="9730" width="21.42578125" customWidth="1"/>
    <col min="9731" max="9731" width="24.7109375" customWidth="1"/>
    <col min="9732" max="9732" width="21.28515625" customWidth="1"/>
    <col min="9733" max="9733" width="12.140625" customWidth="1"/>
    <col min="9734" max="9734" width="22.85546875" customWidth="1"/>
    <col min="9735" max="9735" width="12.5703125" customWidth="1"/>
    <col min="9982" max="9982" width="20.140625" customWidth="1"/>
    <col min="9983" max="9983" width="23.140625" customWidth="1"/>
    <col min="9984" max="9984" width="21.85546875" customWidth="1"/>
    <col min="9985" max="9985" width="18.7109375" bestFit="1" customWidth="1"/>
    <col min="9986" max="9986" width="21.42578125" customWidth="1"/>
    <col min="9987" max="9987" width="24.7109375" customWidth="1"/>
    <col min="9988" max="9988" width="21.28515625" customWidth="1"/>
    <col min="9989" max="9989" width="12.140625" customWidth="1"/>
    <col min="9990" max="9990" width="22.85546875" customWidth="1"/>
    <col min="9991" max="9991" width="12.5703125" customWidth="1"/>
    <col min="10238" max="10238" width="20.140625" customWidth="1"/>
    <col min="10239" max="10239" width="23.140625" customWidth="1"/>
    <col min="10240" max="10240" width="21.85546875" customWidth="1"/>
    <col min="10241" max="10241" width="18.7109375" bestFit="1" customWidth="1"/>
    <col min="10242" max="10242" width="21.42578125" customWidth="1"/>
    <col min="10243" max="10243" width="24.7109375" customWidth="1"/>
    <col min="10244" max="10244" width="21.28515625" customWidth="1"/>
    <col min="10245" max="10245" width="12.140625" customWidth="1"/>
    <col min="10246" max="10246" width="22.85546875" customWidth="1"/>
    <col min="10247" max="10247" width="12.5703125" customWidth="1"/>
    <col min="10494" max="10494" width="20.140625" customWidth="1"/>
    <col min="10495" max="10495" width="23.140625" customWidth="1"/>
    <col min="10496" max="10496" width="21.85546875" customWidth="1"/>
    <col min="10497" max="10497" width="18.7109375" bestFit="1" customWidth="1"/>
    <col min="10498" max="10498" width="21.42578125" customWidth="1"/>
    <col min="10499" max="10499" width="24.7109375" customWidth="1"/>
    <col min="10500" max="10500" width="21.28515625" customWidth="1"/>
    <col min="10501" max="10501" width="12.140625" customWidth="1"/>
    <col min="10502" max="10502" width="22.85546875" customWidth="1"/>
    <col min="10503" max="10503" width="12.5703125" customWidth="1"/>
    <col min="10750" max="10750" width="20.140625" customWidth="1"/>
    <col min="10751" max="10751" width="23.140625" customWidth="1"/>
    <col min="10752" max="10752" width="21.85546875" customWidth="1"/>
    <col min="10753" max="10753" width="18.7109375" bestFit="1" customWidth="1"/>
    <col min="10754" max="10754" width="21.42578125" customWidth="1"/>
    <col min="10755" max="10755" width="24.7109375" customWidth="1"/>
    <col min="10756" max="10756" width="21.28515625" customWidth="1"/>
    <col min="10757" max="10757" width="12.140625" customWidth="1"/>
    <col min="10758" max="10758" width="22.85546875" customWidth="1"/>
    <col min="10759" max="10759" width="12.5703125" customWidth="1"/>
    <col min="11006" max="11006" width="20.140625" customWidth="1"/>
    <col min="11007" max="11007" width="23.140625" customWidth="1"/>
    <col min="11008" max="11008" width="21.85546875" customWidth="1"/>
    <col min="11009" max="11009" width="18.7109375" bestFit="1" customWidth="1"/>
    <col min="11010" max="11010" width="21.42578125" customWidth="1"/>
    <col min="11011" max="11011" width="24.7109375" customWidth="1"/>
    <col min="11012" max="11012" width="21.28515625" customWidth="1"/>
    <col min="11013" max="11013" width="12.140625" customWidth="1"/>
    <col min="11014" max="11014" width="22.85546875" customWidth="1"/>
    <col min="11015" max="11015" width="12.5703125" customWidth="1"/>
    <col min="11262" max="11262" width="20.140625" customWidth="1"/>
    <col min="11263" max="11263" width="23.140625" customWidth="1"/>
    <col min="11264" max="11264" width="21.85546875" customWidth="1"/>
    <col min="11265" max="11265" width="18.7109375" bestFit="1" customWidth="1"/>
    <col min="11266" max="11266" width="21.42578125" customWidth="1"/>
    <col min="11267" max="11267" width="24.7109375" customWidth="1"/>
    <col min="11268" max="11268" width="21.28515625" customWidth="1"/>
    <col min="11269" max="11269" width="12.140625" customWidth="1"/>
    <col min="11270" max="11270" width="22.85546875" customWidth="1"/>
    <col min="11271" max="11271" width="12.5703125" customWidth="1"/>
    <col min="11518" max="11518" width="20.140625" customWidth="1"/>
    <col min="11519" max="11519" width="23.140625" customWidth="1"/>
    <col min="11520" max="11520" width="21.85546875" customWidth="1"/>
    <col min="11521" max="11521" width="18.7109375" bestFit="1" customWidth="1"/>
    <col min="11522" max="11522" width="21.42578125" customWidth="1"/>
    <col min="11523" max="11523" width="24.7109375" customWidth="1"/>
    <col min="11524" max="11524" width="21.28515625" customWidth="1"/>
    <col min="11525" max="11525" width="12.140625" customWidth="1"/>
    <col min="11526" max="11526" width="22.85546875" customWidth="1"/>
    <col min="11527" max="11527" width="12.5703125" customWidth="1"/>
    <col min="11774" max="11774" width="20.140625" customWidth="1"/>
    <col min="11775" max="11775" width="23.140625" customWidth="1"/>
    <col min="11776" max="11776" width="21.85546875" customWidth="1"/>
    <col min="11777" max="11777" width="18.7109375" bestFit="1" customWidth="1"/>
    <col min="11778" max="11778" width="21.42578125" customWidth="1"/>
    <col min="11779" max="11779" width="24.7109375" customWidth="1"/>
    <col min="11780" max="11780" width="21.28515625" customWidth="1"/>
    <col min="11781" max="11781" width="12.140625" customWidth="1"/>
    <col min="11782" max="11782" width="22.85546875" customWidth="1"/>
    <col min="11783" max="11783" width="12.5703125" customWidth="1"/>
    <col min="12030" max="12030" width="20.140625" customWidth="1"/>
    <col min="12031" max="12031" width="23.140625" customWidth="1"/>
    <col min="12032" max="12032" width="21.85546875" customWidth="1"/>
    <col min="12033" max="12033" width="18.7109375" bestFit="1" customWidth="1"/>
    <col min="12034" max="12034" width="21.42578125" customWidth="1"/>
    <col min="12035" max="12035" width="24.7109375" customWidth="1"/>
    <col min="12036" max="12036" width="21.28515625" customWidth="1"/>
    <col min="12037" max="12037" width="12.140625" customWidth="1"/>
    <col min="12038" max="12038" width="22.85546875" customWidth="1"/>
    <col min="12039" max="12039" width="12.5703125" customWidth="1"/>
    <col min="12286" max="12286" width="20.140625" customWidth="1"/>
    <col min="12287" max="12287" width="23.140625" customWidth="1"/>
    <col min="12288" max="12288" width="21.85546875" customWidth="1"/>
    <col min="12289" max="12289" width="18.7109375" bestFit="1" customWidth="1"/>
    <col min="12290" max="12290" width="21.42578125" customWidth="1"/>
    <col min="12291" max="12291" width="24.7109375" customWidth="1"/>
    <col min="12292" max="12292" width="21.28515625" customWidth="1"/>
    <col min="12293" max="12293" width="12.140625" customWidth="1"/>
    <col min="12294" max="12294" width="22.85546875" customWidth="1"/>
    <col min="12295" max="12295" width="12.5703125" customWidth="1"/>
    <col min="12542" max="12542" width="20.140625" customWidth="1"/>
    <col min="12543" max="12543" width="23.140625" customWidth="1"/>
    <col min="12544" max="12544" width="21.85546875" customWidth="1"/>
    <col min="12545" max="12545" width="18.7109375" bestFit="1" customWidth="1"/>
    <col min="12546" max="12546" width="21.42578125" customWidth="1"/>
    <col min="12547" max="12547" width="24.7109375" customWidth="1"/>
    <col min="12548" max="12548" width="21.28515625" customWidth="1"/>
    <col min="12549" max="12549" width="12.140625" customWidth="1"/>
    <col min="12550" max="12550" width="22.85546875" customWidth="1"/>
    <col min="12551" max="12551" width="12.5703125" customWidth="1"/>
    <col min="12798" max="12798" width="20.140625" customWidth="1"/>
    <col min="12799" max="12799" width="23.140625" customWidth="1"/>
    <col min="12800" max="12800" width="21.85546875" customWidth="1"/>
    <col min="12801" max="12801" width="18.7109375" bestFit="1" customWidth="1"/>
    <col min="12802" max="12802" width="21.42578125" customWidth="1"/>
    <col min="12803" max="12803" width="24.7109375" customWidth="1"/>
    <col min="12804" max="12804" width="21.28515625" customWidth="1"/>
    <col min="12805" max="12805" width="12.140625" customWidth="1"/>
    <col min="12806" max="12806" width="22.85546875" customWidth="1"/>
    <col min="12807" max="12807" width="12.5703125" customWidth="1"/>
    <col min="13054" max="13054" width="20.140625" customWidth="1"/>
    <col min="13055" max="13055" width="23.140625" customWidth="1"/>
    <col min="13056" max="13056" width="21.85546875" customWidth="1"/>
    <col min="13057" max="13057" width="18.7109375" bestFit="1" customWidth="1"/>
    <col min="13058" max="13058" width="21.42578125" customWidth="1"/>
    <col min="13059" max="13059" width="24.7109375" customWidth="1"/>
    <col min="13060" max="13060" width="21.28515625" customWidth="1"/>
    <col min="13061" max="13061" width="12.140625" customWidth="1"/>
    <col min="13062" max="13062" width="22.85546875" customWidth="1"/>
    <col min="13063" max="13063" width="12.5703125" customWidth="1"/>
    <col min="13310" max="13310" width="20.140625" customWidth="1"/>
    <col min="13311" max="13311" width="23.140625" customWidth="1"/>
    <col min="13312" max="13312" width="21.85546875" customWidth="1"/>
    <col min="13313" max="13313" width="18.7109375" bestFit="1" customWidth="1"/>
    <col min="13314" max="13314" width="21.42578125" customWidth="1"/>
    <col min="13315" max="13315" width="24.7109375" customWidth="1"/>
    <col min="13316" max="13316" width="21.28515625" customWidth="1"/>
    <col min="13317" max="13317" width="12.140625" customWidth="1"/>
    <col min="13318" max="13318" width="22.85546875" customWidth="1"/>
    <col min="13319" max="13319" width="12.5703125" customWidth="1"/>
    <col min="13566" max="13566" width="20.140625" customWidth="1"/>
    <col min="13567" max="13567" width="23.140625" customWidth="1"/>
    <col min="13568" max="13568" width="21.85546875" customWidth="1"/>
    <col min="13569" max="13569" width="18.7109375" bestFit="1" customWidth="1"/>
    <col min="13570" max="13570" width="21.42578125" customWidth="1"/>
    <col min="13571" max="13571" width="24.7109375" customWidth="1"/>
    <col min="13572" max="13572" width="21.28515625" customWidth="1"/>
    <col min="13573" max="13573" width="12.140625" customWidth="1"/>
    <col min="13574" max="13574" width="22.85546875" customWidth="1"/>
    <col min="13575" max="13575" width="12.5703125" customWidth="1"/>
    <col min="13822" max="13822" width="20.140625" customWidth="1"/>
    <col min="13823" max="13823" width="23.140625" customWidth="1"/>
    <col min="13824" max="13824" width="21.85546875" customWidth="1"/>
    <col min="13825" max="13825" width="18.7109375" bestFit="1" customWidth="1"/>
    <col min="13826" max="13826" width="21.42578125" customWidth="1"/>
    <col min="13827" max="13827" width="24.7109375" customWidth="1"/>
    <col min="13828" max="13828" width="21.28515625" customWidth="1"/>
    <col min="13829" max="13829" width="12.140625" customWidth="1"/>
    <col min="13830" max="13830" width="22.85546875" customWidth="1"/>
    <col min="13831" max="13831" width="12.5703125" customWidth="1"/>
    <col min="14078" max="14078" width="20.140625" customWidth="1"/>
    <col min="14079" max="14079" width="23.140625" customWidth="1"/>
    <col min="14080" max="14080" width="21.85546875" customWidth="1"/>
    <col min="14081" max="14081" width="18.7109375" bestFit="1" customWidth="1"/>
    <col min="14082" max="14082" width="21.42578125" customWidth="1"/>
    <col min="14083" max="14083" width="24.7109375" customWidth="1"/>
    <col min="14084" max="14084" width="21.28515625" customWidth="1"/>
    <col min="14085" max="14085" width="12.140625" customWidth="1"/>
    <col min="14086" max="14086" width="22.85546875" customWidth="1"/>
    <col min="14087" max="14087" width="12.5703125" customWidth="1"/>
    <col min="14334" max="14334" width="20.140625" customWidth="1"/>
    <col min="14335" max="14335" width="23.140625" customWidth="1"/>
    <col min="14336" max="14336" width="21.85546875" customWidth="1"/>
    <col min="14337" max="14337" width="18.7109375" bestFit="1" customWidth="1"/>
    <col min="14338" max="14338" width="21.42578125" customWidth="1"/>
    <col min="14339" max="14339" width="24.7109375" customWidth="1"/>
    <col min="14340" max="14340" width="21.28515625" customWidth="1"/>
    <col min="14341" max="14341" width="12.140625" customWidth="1"/>
    <col min="14342" max="14342" width="22.85546875" customWidth="1"/>
    <col min="14343" max="14343" width="12.5703125" customWidth="1"/>
    <col min="14590" max="14590" width="20.140625" customWidth="1"/>
    <col min="14591" max="14591" width="23.140625" customWidth="1"/>
    <col min="14592" max="14592" width="21.85546875" customWidth="1"/>
    <col min="14593" max="14593" width="18.7109375" bestFit="1" customWidth="1"/>
    <col min="14594" max="14594" width="21.42578125" customWidth="1"/>
    <col min="14595" max="14595" width="24.7109375" customWidth="1"/>
    <col min="14596" max="14596" width="21.28515625" customWidth="1"/>
    <col min="14597" max="14597" width="12.140625" customWidth="1"/>
    <col min="14598" max="14598" width="22.85546875" customWidth="1"/>
    <col min="14599" max="14599" width="12.5703125" customWidth="1"/>
    <col min="14846" max="14846" width="20.140625" customWidth="1"/>
    <col min="14847" max="14847" width="23.140625" customWidth="1"/>
    <col min="14848" max="14848" width="21.85546875" customWidth="1"/>
    <col min="14849" max="14849" width="18.7109375" bestFit="1" customWidth="1"/>
    <col min="14850" max="14850" width="21.42578125" customWidth="1"/>
    <col min="14851" max="14851" width="24.7109375" customWidth="1"/>
    <col min="14852" max="14852" width="21.28515625" customWidth="1"/>
    <col min="14853" max="14853" width="12.140625" customWidth="1"/>
    <col min="14854" max="14854" width="22.85546875" customWidth="1"/>
    <col min="14855" max="14855" width="12.5703125" customWidth="1"/>
    <col min="15102" max="15102" width="20.140625" customWidth="1"/>
    <col min="15103" max="15103" width="23.140625" customWidth="1"/>
    <col min="15104" max="15104" width="21.85546875" customWidth="1"/>
    <col min="15105" max="15105" width="18.7109375" bestFit="1" customWidth="1"/>
    <col min="15106" max="15106" width="21.42578125" customWidth="1"/>
    <col min="15107" max="15107" width="24.7109375" customWidth="1"/>
    <col min="15108" max="15108" width="21.28515625" customWidth="1"/>
    <col min="15109" max="15109" width="12.140625" customWidth="1"/>
    <col min="15110" max="15110" width="22.85546875" customWidth="1"/>
    <col min="15111" max="15111" width="12.5703125" customWidth="1"/>
    <col min="15358" max="15358" width="20.140625" customWidth="1"/>
    <col min="15359" max="15359" width="23.140625" customWidth="1"/>
    <col min="15360" max="15360" width="21.85546875" customWidth="1"/>
    <col min="15361" max="15361" width="18.7109375" bestFit="1" customWidth="1"/>
    <col min="15362" max="15362" width="21.42578125" customWidth="1"/>
    <col min="15363" max="15363" width="24.7109375" customWidth="1"/>
    <col min="15364" max="15364" width="21.28515625" customWidth="1"/>
    <col min="15365" max="15365" width="12.140625" customWidth="1"/>
    <col min="15366" max="15366" width="22.85546875" customWidth="1"/>
    <col min="15367" max="15367" width="12.5703125" customWidth="1"/>
    <col min="15614" max="15614" width="20.140625" customWidth="1"/>
    <col min="15615" max="15615" width="23.140625" customWidth="1"/>
    <col min="15616" max="15616" width="21.85546875" customWidth="1"/>
    <col min="15617" max="15617" width="18.7109375" bestFit="1" customWidth="1"/>
    <col min="15618" max="15618" width="21.42578125" customWidth="1"/>
    <col min="15619" max="15619" width="24.7109375" customWidth="1"/>
    <col min="15620" max="15620" width="21.28515625" customWidth="1"/>
    <col min="15621" max="15621" width="12.140625" customWidth="1"/>
    <col min="15622" max="15622" width="22.85546875" customWidth="1"/>
    <col min="15623" max="15623" width="12.5703125" customWidth="1"/>
    <col min="15870" max="15870" width="20.140625" customWidth="1"/>
    <col min="15871" max="15871" width="23.140625" customWidth="1"/>
    <col min="15872" max="15872" width="21.85546875" customWidth="1"/>
    <col min="15873" max="15873" width="18.7109375" bestFit="1" customWidth="1"/>
    <col min="15874" max="15874" width="21.42578125" customWidth="1"/>
    <col min="15875" max="15875" width="24.7109375" customWidth="1"/>
    <col min="15876" max="15876" width="21.28515625" customWidth="1"/>
    <col min="15877" max="15877" width="12.140625" customWidth="1"/>
    <col min="15878" max="15878" width="22.85546875" customWidth="1"/>
    <col min="15879" max="15879" width="12.5703125" customWidth="1"/>
    <col min="16126" max="16126" width="20.140625" customWidth="1"/>
    <col min="16127" max="16127" width="23.140625" customWidth="1"/>
    <col min="16128" max="16128" width="21.85546875" customWidth="1"/>
    <col min="16129" max="16129" width="18.7109375" bestFit="1" customWidth="1"/>
    <col min="16130" max="16130" width="21.42578125" customWidth="1"/>
    <col min="16131" max="16131" width="24.7109375" customWidth="1"/>
    <col min="16132" max="16132" width="21.28515625" customWidth="1"/>
    <col min="16133" max="16133" width="12.140625" customWidth="1"/>
    <col min="16134" max="16134" width="22.85546875" customWidth="1"/>
    <col min="16135" max="16135" width="12.5703125" customWidth="1"/>
  </cols>
  <sheetData>
    <row r="6" spans="2:12" ht="15.75" thickBot="1" x14ac:dyDescent="0.3"/>
    <row r="7" spans="2:12" ht="15" customHeight="1" x14ac:dyDescent="0.25">
      <c r="B7" s="509" t="s">
        <v>473</v>
      </c>
      <c r="C7" s="510"/>
      <c r="D7" s="510"/>
      <c r="E7" s="510"/>
      <c r="F7" s="510"/>
      <c r="G7" s="510"/>
      <c r="H7" s="510"/>
      <c r="I7" s="510"/>
      <c r="J7" s="510"/>
      <c r="K7" s="510"/>
      <c r="L7" s="511"/>
    </row>
    <row r="8" spans="2:12" ht="15.75" customHeight="1" thickBot="1" x14ac:dyDescent="0.3">
      <c r="B8" s="566"/>
      <c r="C8" s="567"/>
      <c r="D8" s="567"/>
      <c r="E8" s="567"/>
      <c r="F8" s="567"/>
      <c r="G8" s="567"/>
      <c r="H8" s="567"/>
      <c r="I8" s="567"/>
      <c r="J8" s="567"/>
      <c r="K8" s="567"/>
      <c r="L8" s="568"/>
    </row>
    <row r="9" spans="2:12" ht="45.75" thickBot="1" x14ac:dyDescent="0.3">
      <c r="B9" s="563"/>
      <c r="C9" s="564" t="s">
        <v>467</v>
      </c>
      <c r="D9" s="564" t="s">
        <v>468</v>
      </c>
      <c r="E9" s="564" t="s">
        <v>454</v>
      </c>
      <c r="F9" s="564" t="s">
        <v>469</v>
      </c>
      <c r="G9" s="564" t="s">
        <v>455</v>
      </c>
      <c r="H9" s="565" t="s">
        <v>470</v>
      </c>
      <c r="I9" s="564" t="s">
        <v>471</v>
      </c>
      <c r="J9" s="564" t="s">
        <v>456</v>
      </c>
      <c r="K9" s="564" t="s">
        <v>472</v>
      </c>
      <c r="L9" s="564" t="s">
        <v>457</v>
      </c>
    </row>
    <row r="10" spans="2:12" ht="57" customHeight="1" thickBot="1" x14ac:dyDescent="0.3">
      <c r="B10" s="512" t="s">
        <v>19</v>
      </c>
      <c r="C10" s="513">
        <v>565950000</v>
      </c>
      <c r="D10" s="514">
        <v>255372000</v>
      </c>
      <c r="E10" s="515">
        <f>(D10/C10)</f>
        <v>0.45122714020673205</v>
      </c>
      <c r="F10" s="516">
        <f>(C10-D10)</f>
        <v>310578000</v>
      </c>
      <c r="G10" s="515">
        <f t="shared" ref="G10:G24" si="0">(F10/C10)</f>
        <v>0.54877285979326795</v>
      </c>
      <c r="H10" s="517">
        <v>875950000</v>
      </c>
      <c r="I10" s="514">
        <v>443131871</v>
      </c>
      <c r="J10" s="515">
        <f>(I10/H10)</f>
        <v>0.50588717506707004</v>
      </c>
      <c r="K10" s="514">
        <f>(H10-D10-I10)</f>
        <v>177446129</v>
      </c>
      <c r="L10" s="518">
        <f>(K10/H10)</f>
        <v>0.2025756367372567</v>
      </c>
    </row>
    <row r="11" spans="2:12" ht="30.75" thickBot="1" x14ac:dyDescent="0.3">
      <c r="B11" s="519" t="s">
        <v>93</v>
      </c>
      <c r="C11" s="520">
        <v>319400000</v>
      </c>
      <c r="D11" s="520">
        <v>173181572</v>
      </c>
      <c r="E11" s="521">
        <f>(D11/C11)</f>
        <v>0.54220905447714463</v>
      </c>
      <c r="F11" s="522">
        <f t="shared" ref="F11:F24" si="1">(C11-D11)</f>
        <v>146218428</v>
      </c>
      <c r="G11" s="521">
        <f t="shared" si="0"/>
        <v>0.45779094552285537</v>
      </c>
      <c r="H11" s="523">
        <v>529400000</v>
      </c>
      <c r="I11" s="524">
        <v>192000000</v>
      </c>
      <c r="J11" s="515">
        <f t="shared" ref="J11:J24" si="2">(I11/H11)</f>
        <v>0.36267472610502455</v>
      </c>
      <c r="K11" s="514">
        <f t="shared" ref="K11:K23" si="3">(H11-D11-I11)</f>
        <v>164218428</v>
      </c>
      <c r="L11" s="518">
        <f t="shared" ref="L11:L24" si="4">(K11/H11)</f>
        <v>0.31019725727238384</v>
      </c>
    </row>
    <row r="12" spans="2:12" ht="15.75" thickBot="1" x14ac:dyDescent="0.3">
      <c r="B12" s="525" t="s">
        <v>458</v>
      </c>
      <c r="C12" s="526">
        <v>71185567199.580002</v>
      </c>
      <c r="D12" s="526">
        <v>2636240285</v>
      </c>
      <c r="E12" s="527">
        <f>(D12/C12)</f>
        <v>3.703335365171543E-2</v>
      </c>
      <c r="F12" s="528">
        <f t="shared" si="1"/>
        <v>68549326914.580002</v>
      </c>
      <c r="G12" s="527">
        <f t="shared" si="0"/>
        <v>0.96296664634828455</v>
      </c>
      <c r="H12" s="529">
        <v>71185567199.580002</v>
      </c>
      <c r="I12" s="530">
        <v>44397592658</v>
      </c>
      <c r="J12" s="515">
        <f t="shared" si="2"/>
        <v>0.62368812112607497</v>
      </c>
      <c r="K12" s="514">
        <f t="shared" si="3"/>
        <v>24151734256.580002</v>
      </c>
      <c r="L12" s="518">
        <f t="shared" si="4"/>
        <v>0.33927852522220964</v>
      </c>
    </row>
    <row r="13" spans="2:12" ht="15.75" thickBot="1" x14ac:dyDescent="0.3">
      <c r="B13" s="531" t="s">
        <v>166</v>
      </c>
      <c r="C13" s="532">
        <v>172000000</v>
      </c>
      <c r="D13" s="533">
        <v>0</v>
      </c>
      <c r="E13" s="515">
        <f>(D13/C13)</f>
        <v>0</v>
      </c>
      <c r="F13" s="516">
        <f t="shared" si="1"/>
        <v>172000000</v>
      </c>
      <c r="G13" s="515">
        <f t="shared" si="0"/>
        <v>1</v>
      </c>
      <c r="H13" s="517">
        <v>172000000</v>
      </c>
      <c r="I13" s="534">
        <v>0</v>
      </c>
      <c r="J13" s="515">
        <f t="shared" si="2"/>
        <v>0</v>
      </c>
      <c r="K13" s="514">
        <f t="shared" si="3"/>
        <v>172000000</v>
      </c>
      <c r="L13" s="518">
        <f t="shared" si="4"/>
        <v>1</v>
      </c>
    </row>
    <row r="14" spans="2:12" ht="30.75" thickBot="1" x14ac:dyDescent="0.3">
      <c r="B14" s="535" t="s">
        <v>459</v>
      </c>
      <c r="C14" s="536">
        <v>151000000</v>
      </c>
      <c r="D14" s="536">
        <v>53062775</v>
      </c>
      <c r="E14" s="521">
        <f>(D14/C14)</f>
        <v>0.35140910596026492</v>
      </c>
      <c r="F14" s="522">
        <f t="shared" si="1"/>
        <v>97937225</v>
      </c>
      <c r="G14" s="521">
        <f t="shared" si="0"/>
        <v>0.64859089403973513</v>
      </c>
      <c r="H14" s="537">
        <v>151000000</v>
      </c>
      <c r="I14" s="520">
        <v>8643115</v>
      </c>
      <c r="J14" s="515">
        <f t="shared" si="2"/>
        <v>5.7239172185430461E-2</v>
      </c>
      <c r="K14" s="514">
        <f t="shared" si="3"/>
        <v>89294110</v>
      </c>
      <c r="L14" s="518">
        <f t="shared" si="4"/>
        <v>0.59135172185430462</v>
      </c>
    </row>
    <row r="15" spans="2:12" ht="45.75" customHeight="1" thickBot="1" x14ac:dyDescent="0.3">
      <c r="B15" s="538" t="s">
        <v>206</v>
      </c>
      <c r="C15" s="539">
        <v>427000000</v>
      </c>
      <c r="D15" s="539">
        <v>118721844</v>
      </c>
      <c r="E15" s="540">
        <f>(D15/C15)</f>
        <v>0.27803710538641685</v>
      </c>
      <c r="F15" s="541">
        <f t="shared" si="1"/>
        <v>308278156</v>
      </c>
      <c r="G15" s="540">
        <f t="shared" si="0"/>
        <v>0.72196289461358309</v>
      </c>
      <c r="H15" s="542">
        <v>427000000</v>
      </c>
      <c r="I15" s="543">
        <v>25787000</v>
      </c>
      <c r="J15" s="515">
        <f t="shared" si="2"/>
        <v>6.0391100702576112E-2</v>
      </c>
      <c r="K15" s="514">
        <f t="shared" si="3"/>
        <v>282491156</v>
      </c>
      <c r="L15" s="518">
        <f t="shared" si="4"/>
        <v>0.66157179391100707</v>
      </c>
    </row>
    <row r="16" spans="2:12" ht="15.75" thickBot="1" x14ac:dyDescent="0.3">
      <c r="B16" s="531" t="s">
        <v>460</v>
      </c>
      <c r="C16" s="532">
        <v>70000000</v>
      </c>
      <c r="D16" s="532">
        <v>3240200</v>
      </c>
      <c r="E16" s="515">
        <f>(D16/C16)</f>
        <v>4.6288571428571429E-2</v>
      </c>
      <c r="F16" s="516">
        <f t="shared" si="1"/>
        <v>66759800</v>
      </c>
      <c r="G16" s="515">
        <f t="shared" si="0"/>
        <v>0.95371142857142854</v>
      </c>
      <c r="H16" s="517">
        <v>70000000</v>
      </c>
      <c r="I16" s="514">
        <v>8004870</v>
      </c>
      <c r="J16" s="515">
        <f t="shared" si="2"/>
        <v>0.11435528571428571</v>
      </c>
      <c r="K16" s="514">
        <f t="shared" si="3"/>
        <v>58754930</v>
      </c>
      <c r="L16" s="518">
        <f t="shared" si="4"/>
        <v>0.83935614285714288</v>
      </c>
    </row>
    <row r="17" spans="2:12" ht="30.75" thickBot="1" x14ac:dyDescent="0.3">
      <c r="B17" s="535" t="s">
        <v>232</v>
      </c>
      <c r="C17" s="536">
        <v>183000000</v>
      </c>
      <c r="D17" s="544">
        <v>0</v>
      </c>
      <c r="E17" s="521">
        <f>(D17/C17)</f>
        <v>0</v>
      </c>
      <c r="F17" s="522">
        <f t="shared" si="1"/>
        <v>183000000</v>
      </c>
      <c r="G17" s="521">
        <f t="shared" si="0"/>
        <v>1</v>
      </c>
      <c r="H17" s="523">
        <v>183000000</v>
      </c>
      <c r="I17" s="520">
        <v>59648030</v>
      </c>
      <c r="J17" s="515">
        <f t="shared" si="2"/>
        <v>0.32594551912568304</v>
      </c>
      <c r="K17" s="514">
        <f t="shared" si="3"/>
        <v>123351970</v>
      </c>
      <c r="L17" s="518">
        <f t="shared" si="4"/>
        <v>0.67405448087431696</v>
      </c>
    </row>
    <row r="18" spans="2:12" ht="30.75" thickBot="1" x14ac:dyDescent="0.3">
      <c r="B18" s="535" t="s">
        <v>242</v>
      </c>
      <c r="C18" s="536">
        <v>27000000</v>
      </c>
      <c r="D18" s="536">
        <v>20000000</v>
      </c>
      <c r="E18" s="521">
        <f>(D18/C18)</f>
        <v>0.7407407407407407</v>
      </c>
      <c r="F18" s="522">
        <f t="shared" si="1"/>
        <v>7000000</v>
      </c>
      <c r="G18" s="521">
        <f t="shared" si="0"/>
        <v>0.25925925925925924</v>
      </c>
      <c r="H18" s="523">
        <v>27000000</v>
      </c>
      <c r="I18" s="545">
        <v>0</v>
      </c>
      <c r="J18" s="515">
        <f t="shared" si="2"/>
        <v>0</v>
      </c>
      <c r="K18" s="514">
        <f t="shared" si="3"/>
        <v>7000000</v>
      </c>
      <c r="L18" s="518">
        <f t="shared" si="4"/>
        <v>0.25925925925925924</v>
      </c>
    </row>
    <row r="19" spans="2:12" ht="15.75" thickBot="1" x14ac:dyDescent="0.3">
      <c r="B19" s="538" t="s">
        <v>249</v>
      </c>
      <c r="C19" s="539">
        <v>320000000</v>
      </c>
      <c r="D19" s="546">
        <v>0</v>
      </c>
      <c r="E19" s="540">
        <f>(D19/C19)</f>
        <v>0</v>
      </c>
      <c r="F19" s="541">
        <f t="shared" si="1"/>
        <v>320000000</v>
      </c>
      <c r="G19" s="540">
        <f t="shared" si="0"/>
        <v>1</v>
      </c>
      <c r="H19" s="542">
        <v>320000000</v>
      </c>
      <c r="I19" s="545">
        <v>0</v>
      </c>
      <c r="J19" s="515">
        <f t="shared" si="2"/>
        <v>0</v>
      </c>
      <c r="K19" s="514">
        <f t="shared" si="3"/>
        <v>320000000</v>
      </c>
      <c r="L19" s="518">
        <f t="shared" si="4"/>
        <v>1</v>
      </c>
    </row>
    <row r="20" spans="2:12" ht="30.75" thickBot="1" x14ac:dyDescent="0.3">
      <c r="B20" s="535" t="s">
        <v>461</v>
      </c>
      <c r="C20" s="536">
        <v>32000000</v>
      </c>
      <c r="D20" s="536">
        <v>18335540</v>
      </c>
      <c r="E20" s="521">
        <f>(D20/C20)</f>
        <v>0.57298562500000005</v>
      </c>
      <c r="F20" s="522">
        <f t="shared" si="1"/>
        <v>13664460</v>
      </c>
      <c r="G20" s="521">
        <f t="shared" si="0"/>
        <v>0.427014375</v>
      </c>
      <c r="H20" s="523">
        <v>96000000</v>
      </c>
      <c r="I20" s="545">
        <v>0</v>
      </c>
      <c r="J20" s="515">
        <f t="shared" si="2"/>
        <v>0</v>
      </c>
      <c r="K20" s="514">
        <f t="shared" si="3"/>
        <v>77664460</v>
      </c>
      <c r="L20" s="518">
        <f t="shared" si="4"/>
        <v>0.80900479166666661</v>
      </c>
    </row>
    <row r="21" spans="2:12" ht="15.75" thickBot="1" x14ac:dyDescent="0.3">
      <c r="B21" s="531" t="s">
        <v>254</v>
      </c>
      <c r="C21" s="532">
        <v>40000000</v>
      </c>
      <c r="D21" s="533">
        <v>0</v>
      </c>
      <c r="E21" s="515">
        <f>(D21/C21)</f>
        <v>0</v>
      </c>
      <c r="F21" s="516">
        <f t="shared" si="1"/>
        <v>40000000</v>
      </c>
      <c r="G21" s="515">
        <f t="shared" si="0"/>
        <v>1</v>
      </c>
      <c r="H21" s="517">
        <v>40000000</v>
      </c>
      <c r="I21" s="534">
        <v>0</v>
      </c>
      <c r="J21" s="515">
        <f t="shared" si="2"/>
        <v>0</v>
      </c>
      <c r="K21" s="514">
        <f t="shared" si="3"/>
        <v>40000000</v>
      </c>
      <c r="L21" s="518">
        <f t="shared" si="4"/>
        <v>1</v>
      </c>
    </row>
    <row r="22" spans="2:12" ht="34.5" customHeight="1" thickBot="1" x14ac:dyDescent="0.3">
      <c r="B22" s="535" t="s">
        <v>287</v>
      </c>
      <c r="C22" s="536"/>
      <c r="D22" s="544"/>
      <c r="E22" s="521"/>
      <c r="F22" s="522"/>
      <c r="G22" s="521"/>
      <c r="H22" s="523">
        <v>30000000</v>
      </c>
      <c r="I22" s="545">
        <v>0</v>
      </c>
      <c r="J22" s="515">
        <f t="shared" si="2"/>
        <v>0</v>
      </c>
      <c r="K22" s="514">
        <f t="shared" si="3"/>
        <v>30000000</v>
      </c>
      <c r="L22" s="518">
        <f t="shared" si="4"/>
        <v>1</v>
      </c>
    </row>
    <row r="23" spans="2:12" ht="15.75" thickBot="1" x14ac:dyDescent="0.3">
      <c r="B23" s="538" t="s">
        <v>262</v>
      </c>
      <c r="C23" s="539">
        <v>128000000</v>
      </c>
      <c r="D23" s="546">
        <v>0</v>
      </c>
      <c r="E23" s="540">
        <f>(D23/C23)</f>
        <v>0</v>
      </c>
      <c r="F23" s="541">
        <f t="shared" si="1"/>
        <v>128000000</v>
      </c>
      <c r="G23" s="540">
        <f t="shared" si="0"/>
        <v>1</v>
      </c>
      <c r="H23" s="542">
        <v>128000000</v>
      </c>
      <c r="I23" s="547">
        <v>0</v>
      </c>
      <c r="J23" s="515">
        <f t="shared" si="2"/>
        <v>0</v>
      </c>
      <c r="K23" s="514">
        <f t="shared" si="3"/>
        <v>128000000</v>
      </c>
      <c r="L23" s="518">
        <f t="shared" si="4"/>
        <v>1</v>
      </c>
    </row>
    <row r="24" spans="2:12" ht="63.75" thickBot="1" x14ac:dyDescent="0.3">
      <c r="B24" s="548" t="s">
        <v>462</v>
      </c>
      <c r="C24" s="549">
        <f t="shared" ref="C24:D24" si="5">SUM(C10:C23)</f>
        <v>73620917199.580002</v>
      </c>
      <c r="D24" s="549">
        <f t="shared" si="5"/>
        <v>3278154216</v>
      </c>
      <c r="E24" s="550">
        <f>(D24/C24)</f>
        <v>4.4527484045236827E-2</v>
      </c>
      <c r="F24" s="549">
        <f t="shared" si="1"/>
        <v>70342762983.580002</v>
      </c>
      <c r="G24" s="550">
        <f t="shared" si="0"/>
        <v>0.95547251595476312</v>
      </c>
      <c r="H24" s="551">
        <f>SUM(H10:H23)</f>
        <v>74234917199.580002</v>
      </c>
      <c r="I24" s="551">
        <f>SUM(I10:I23)</f>
        <v>45134807544</v>
      </c>
      <c r="J24" s="550">
        <f t="shared" si="2"/>
        <v>0.60799970211666587</v>
      </c>
      <c r="K24" s="551">
        <f>SUM(K10:K23)</f>
        <v>25821955439.580002</v>
      </c>
      <c r="L24" s="552">
        <f t="shared" si="4"/>
        <v>0.3478411024579966</v>
      </c>
    </row>
    <row r="25" spans="2:12" x14ac:dyDescent="0.25">
      <c r="B25" s="553"/>
      <c r="C25" s="553"/>
      <c r="D25" s="553"/>
      <c r="E25" s="553"/>
      <c r="F25" s="553"/>
      <c r="G25" s="553"/>
    </row>
    <row r="26" spans="2:12" x14ac:dyDescent="0.25">
      <c r="B26" s="553"/>
      <c r="E26" s="553"/>
      <c r="F26" s="553"/>
      <c r="G26" s="553"/>
      <c r="H26" s="554"/>
    </row>
    <row r="27" spans="2:12" x14ac:dyDescent="0.25">
      <c r="B27" s="553"/>
      <c r="E27" s="553"/>
      <c r="F27" s="553"/>
      <c r="G27" s="553"/>
    </row>
    <row r="28" spans="2:12" ht="23.25" customHeight="1" x14ac:dyDescent="0.25"/>
    <row r="29" spans="2:12" x14ac:dyDescent="0.25">
      <c r="C29" s="553" t="s">
        <v>463</v>
      </c>
      <c r="D29" s="553"/>
    </row>
    <row r="30" spans="2:12" ht="23.25" customHeight="1" x14ac:dyDescent="0.25">
      <c r="C30" s="553" t="s">
        <v>464</v>
      </c>
      <c r="D30" s="553"/>
    </row>
    <row r="33" spans="3:3" x14ac:dyDescent="0.25">
      <c r="C33" s="14" t="s">
        <v>264</v>
      </c>
    </row>
    <row r="34" spans="3:3" x14ac:dyDescent="0.25">
      <c r="C34" s="14" t="s">
        <v>265</v>
      </c>
    </row>
  </sheetData>
  <mergeCells count="1">
    <mergeCell ref="B7:L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A 30 JUN.-2019</vt:lpstr>
      <vt:lpstr>CUAD. PRES. A JUN.30-2019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2019-08-13T16:53:54Z</dcterms:modified>
</cp:coreProperties>
</file>