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\Downloads\"/>
    </mc:Choice>
  </mc:AlternateContent>
  <xr:revisionPtr revIDLastSave="0" documentId="13_ncr:1_{483FB343-15A4-404F-8490-C1147BD90435}" xr6:coauthVersionLast="47" xr6:coauthVersionMax="47" xr10:uidLastSave="{00000000-0000-0000-0000-000000000000}"/>
  <bookViews>
    <workbookView xWindow="-120" yWindow="-120" windowWidth="29040" windowHeight="15840" tabRatio="818" activeTab="6" xr2:uid="{00000000-000D-0000-FFFF-FFFF00000000}"/>
  </bookViews>
  <sheets>
    <sheet name="APROBADO-2025" sheetId="36" r:id="rId1"/>
    <sheet name="PTO-INGRESOS-MESES-2025" sheetId="48" r:id="rId2"/>
    <sheet name="EJEC MES A MES-2025-modif" sheetId="56" r:id="rId3"/>
    <sheet name="EJECUION CTAS POR PAGAR-2025" sheetId="75" r:id="rId4"/>
    <sheet name="Enero-2025" sheetId="50" r:id="rId5"/>
    <sheet name="febrero-2025" sheetId="76" r:id="rId6"/>
    <sheet name="marzo-2025" sheetId="77" r:id="rId7"/>
  </sheets>
  <definedNames>
    <definedName name="_xlnm.Print_Area" localSheetId="0">'APROBADO-2025'!$G$1:$J$30</definedName>
    <definedName name="_xlnm.Print_Area" localSheetId="2">'EJEC MES A MES-2025-modif'!$A$1:$I$79</definedName>
    <definedName name="_xlnm.Print_Area" localSheetId="3">'EJECUION CTAS POR PAGAR-2025'!$C$6:$H$20</definedName>
    <definedName name="_xlnm.Print_Area" localSheetId="4">'Enero-2025'!$B$1:$K$92</definedName>
    <definedName name="_xlnm.Print_Area" localSheetId="5">'febrero-2025'!$B$1:$K$92</definedName>
    <definedName name="_xlnm.Print_Area" localSheetId="6">'marzo-2025'!$B$1:$K$92</definedName>
    <definedName name="_xlnm.Print_Area" localSheetId="1">'PTO-INGRESOS-MESES-2025'!$B$1:$G$27</definedName>
  </definedNames>
  <calcPr calcId="181029"/>
  <fileRecoveryPr autoRecover="0"/>
</workbook>
</file>

<file path=xl/calcChain.xml><?xml version="1.0" encoding="utf-8"?>
<calcChain xmlns="http://schemas.openxmlformats.org/spreadsheetml/2006/main">
  <c r="G14" i="75" l="1"/>
  <c r="G13" i="75"/>
  <c r="D72" i="56"/>
  <c r="D71" i="56"/>
  <c r="D68" i="56"/>
  <c r="D67" i="56"/>
  <c r="D64" i="56"/>
  <c r="D63" i="56"/>
  <c r="D60" i="56"/>
  <c r="D59" i="56"/>
  <c r="D58" i="56"/>
  <c r="D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I72" i="56"/>
  <c r="I71" i="56"/>
  <c r="I68" i="56"/>
  <c r="I67" i="56"/>
  <c r="I64" i="56"/>
  <c r="I63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H30" i="56"/>
  <c r="G73" i="56"/>
  <c r="G69" i="56"/>
  <c r="G65" i="56"/>
  <c r="G61" i="56"/>
  <c r="G31" i="56"/>
  <c r="G74" i="56" s="1"/>
  <c r="G11" i="56"/>
  <c r="G14" i="77"/>
  <c r="F36" i="77"/>
  <c r="F35" i="77"/>
  <c r="F24" i="77"/>
  <c r="F22" i="77"/>
  <c r="F21" i="77"/>
  <c r="F74" i="77"/>
  <c r="F69" i="77"/>
  <c r="F60" i="77"/>
  <c r="F53" i="77"/>
  <c r="F45" i="77"/>
  <c r="H45" i="77" s="1"/>
  <c r="F39" i="77"/>
  <c r="F34" i="77"/>
  <c r="F32" i="77"/>
  <c r="F31" i="77"/>
  <c r="F30" i="77"/>
  <c r="F29" i="77"/>
  <c r="F28" i="77"/>
  <c r="F27" i="77"/>
  <c r="F26" i="77"/>
  <c r="F25" i="77"/>
  <c r="F23" i="77"/>
  <c r="F75" i="77"/>
  <c r="F65" i="77"/>
  <c r="I63" i="77"/>
  <c r="J63" i="77" s="1"/>
  <c r="H40" i="77"/>
  <c r="D18" i="48"/>
  <c r="D13" i="48"/>
  <c r="D19" i="48" s="1"/>
  <c r="I60" i="77"/>
  <c r="J60" i="77" s="1"/>
  <c r="H53" i="77"/>
  <c r="I46" i="77"/>
  <c r="J46" i="77" s="1"/>
  <c r="F20" i="77"/>
  <c r="I20" i="77" s="1"/>
  <c r="G15" i="77"/>
  <c r="G13" i="77"/>
  <c r="G12" i="77"/>
  <c r="I12" i="77" s="1"/>
  <c r="G79" i="77"/>
  <c r="F79" i="77"/>
  <c r="E79" i="77"/>
  <c r="C79" i="77"/>
  <c r="D78" i="77"/>
  <c r="I78" i="77" s="1"/>
  <c r="J78" i="77" s="1"/>
  <c r="D77" i="77"/>
  <c r="I77" i="77" s="1"/>
  <c r="G75" i="77"/>
  <c r="E75" i="77"/>
  <c r="C75" i="77"/>
  <c r="D74" i="77"/>
  <c r="H73" i="77"/>
  <c r="D73" i="77"/>
  <c r="D75" i="77" s="1"/>
  <c r="G71" i="77"/>
  <c r="E71" i="77"/>
  <c r="D71" i="77"/>
  <c r="C71" i="77"/>
  <c r="H70" i="77"/>
  <c r="D70" i="77"/>
  <c r="I70" i="77" s="1"/>
  <c r="J70" i="77" s="1"/>
  <c r="H69" i="77"/>
  <c r="F71" i="77"/>
  <c r="H71" i="77" s="1"/>
  <c r="D69" i="77"/>
  <c r="I69" i="77" s="1"/>
  <c r="G67" i="77"/>
  <c r="E67" i="77"/>
  <c r="C67" i="77"/>
  <c r="I66" i="77"/>
  <c r="J66" i="77" s="1"/>
  <c r="D66" i="77"/>
  <c r="H66" i="77" s="1"/>
  <c r="I65" i="77"/>
  <c r="J65" i="77" s="1"/>
  <c r="D65" i="77"/>
  <c r="H65" i="77" s="1"/>
  <c r="I64" i="77"/>
  <c r="J64" i="77" s="1"/>
  <c r="D64" i="77"/>
  <c r="H64" i="77" s="1"/>
  <c r="D63" i="77"/>
  <c r="I62" i="77"/>
  <c r="J62" i="77" s="1"/>
  <c r="D62" i="77"/>
  <c r="H62" i="77" s="1"/>
  <c r="I61" i="77"/>
  <c r="J61" i="77" s="1"/>
  <c r="D61" i="77"/>
  <c r="H61" i="77" s="1"/>
  <c r="D60" i="77"/>
  <c r="H60" i="77" s="1"/>
  <c r="I59" i="77"/>
  <c r="J59" i="77" s="1"/>
  <c r="D59" i="77"/>
  <c r="H59" i="77" s="1"/>
  <c r="I58" i="77"/>
  <c r="J58" i="77" s="1"/>
  <c r="D58" i="77"/>
  <c r="H58" i="77" s="1"/>
  <c r="I57" i="77"/>
  <c r="J57" i="77" s="1"/>
  <c r="D57" i="77"/>
  <c r="H57" i="77" s="1"/>
  <c r="I56" i="77"/>
  <c r="J56" i="77" s="1"/>
  <c r="D56" i="77"/>
  <c r="H56" i="77" s="1"/>
  <c r="I55" i="77"/>
  <c r="J55" i="77" s="1"/>
  <c r="D55" i="77"/>
  <c r="H55" i="77" s="1"/>
  <c r="I54" i="77"/>
  <c r="J54" i="77" s="1"/>
  <c r="D54" i="77"/>
  <c r="H54" i="77" s="1"/>
  <c r="I53" i="77"/>
  <c r="J53" i="77" s="1"/>
  <c r="D53" i="77"/>
  <c r="J52" i="77"/>
  <c r="I52" i="77"/>
  <c r="H52" i="77"/>
  <c r="D52" i="77"/>
  <c r="J51" i="77"/>
  <c r="I51" i="77"/>
  <c r="H51" i="77"/>
  <c r="D51" i="77"/>
  <c r="J50" i="77"/>
  <c r="I50" i="77"/>
  <c r="H50" i="77"/>
  <c r="D50" i="77"/>
  <c r="I49" i="77"/>
  <c r="J49" i="77" s="1"/>
  <c r="H49" i="77"/>
  <c r="D49" i="77"/>
  <c r="J48" i="77"/>
  <c r="I48" i="77"/>
  <c r="H48" i="77"/>
  <c r="D48" i="77"/>
  <c r="I47" i="77"/>
  <c r="J47" i="77" s="1"/>
  <c r="H47" i="77"/>
  <c r="D47" i="77"/>
  <c r="H46" i="77"/>
  <c r="D46" i="77"/>
  <c r="D45" i="77"/>
  <c r="J44" i="77"/>
  <c r="I44" i="77"/>
  <c r="H44" i="77"/>
  <c r="D44" i="77"/>
  <c r="J43" i="77"/>
  <c r="I43" i="77"/>
  <c r="H43" i="77"/>
  <c r="D43" i="77"/>
  <c r="J42" i="77"/>
  <c r="I42" i="77"/>
  <c r="H42" i="77"/>
  <c r="D42" i="77"/>
  <c r="J41" i="77"/>
  <c r="I41" i="77"/>
  <c r="H41" i="77"/>
  <c r="D41" i="77"/>
  <c r="I40" i="77"/>
  <c r="J40" i="77" s="1"/>
  <c r="D40" i="77"/>
  <c r="D39" i="77"/>
  <c r="D67" i="77" s="1"/>
  <c r="G37" i="77"/>
  <c r="E37" i="77"/>
  <c r="C37" i="77"/>
  <c r="C80" i="77" s="1"/>
  <c r="I36" i="77"/>
  <c r="J36" i="77" s="1"/>
  <c r="D36" i="77"/>
  <c r="D35" i="77"/>
  <c r="I35" i="77" s="1"/>
  <c r="J35" i="77" s="1"/>
  <c r="I34" i="77"/>
  <c r="J34" i="77" s="1"/>
  <c r="H34" i="77"/>
  <c r="D34" i="77"/>
  <c r="J33" i="77"/>
  <c r="I33" i="77"/>
  <c r="H33" i="77"/>
  <c r="D33" i="77"/>
  <c r="D32" i="77"/>
  <c r="I32" i="77" s="1"/>
  <c r="J32" i="77" s="1"/>
  <c r="I31" i="77"/>
  <c r="J31" i="77" s="1"/>
  <c r="D31" i="77"/>
  <c r="H30" i="77"/>
  <c r="D30" i="77"/>
  <c r="I30" i="77" s="1"/>
  <c r="J30" i="77" s="1"/>
  <c r="D29" i="77"/>
  <c r="D28" i="77"/>
  <c r="I28" i="77" s="1"/>
  <c r="J28" i="77" s="1"/>
  <c r="I27" i="77"/>
  <c r="J27" i="77" s="1"/>
  <c r="D27" i="77"/>
  <c r="H26" i="77"/>
  <c r="D26" i="77"/>
  <c r="I26" i="77" s="1"/>
  <c r="J26" i="77" s="1"/>
  <c r="I25" i="77"/>
  <c r="J25" i="77" s="1"/>
  <c r="H25" i="77"/>
  <c r="D25" i="77"/>
  <c r="D24" i="77"/>
  <c r="I23" i="77"/>
  <c r="J23" i="77" s="1"/>
  <c r="D23" i="77"/>
  <c r="H22" i="77"/>
  <c r="D22" i="77"/>
  <c r="I21" i="77"/>
  <c r="J21" i="77" s="1"/>
  <c r="D21" i="77"/>
  <c r="H21" i="77" s="1"/>
  <c r="D20" i="77"/>
  <c r="D37" i="77" s="1"/>
  <c r="F16" i="77"/>
  <c r="E16" i="77"/>
  <c r="C16" i="77"/>
  <c r="D15" i="77"/>
  <c r="I15" i="77" s="1"/>
  <c r="J15" i="77" s="1"/>
  <c r="I14" i="77"/>
  <c r="J14" i="77" s="1"/>
  <c r="D14" i="77"/>
  <c r="H13" i="77"/>
  <c r="D13" i="77"/>
  <c r="D16" i="77" s="1"/>
  <c r="D12" i="77"/>
  <c r="F37" i="77" l="1"/>
  <c r="L36" i="77"/>
  <c r="L35" i="77"/>
  <c r="H35" i="77"/>
  <c r="I45" i="77"/>
  <c r="J45" i="77" s="1"/>
  <c r="I22" i="77"/>
  <c r="H75" i="77"/>
  <c r="H63" i="77"/>
  <c r="F67" i="77"/>
  <c r="H67" i="77" s="1"/>
  <c r="I29" i="77"/>
  <c r="J29" i="77" s="1"/>
  <c r="H29" i="77"/>
  <c r="I24" i="77"/>
  <c r="E80" i="77"/>
  <c r="H12" i="77"/>
  <c r="J69" i="77"/>
  <c r="I71" i="77"/>
  <c r="J71" i="77" s="1"/>
  <c r="J77" i="77"/>
  <c r="I79" i="77"/>
  <c r="I16" i="77"/>
  <c r="J16" i="77" s="1"/>
  <c r="H37" i="77"/>
  <c r="G80" i="77"/>
  <c r="J12" i="77"/>
  <c r="I13" i="77"/>
  <c r="J13" i="77" s="1"/>
  <c r="H14" i="77"/>
  <c r="G16" i="77"/>
  <c r="H16" i="77" s="1"/>
  <c r="J20" i="77"/>
  <c r="H23" i="77"/>
  <c r="H27" i="77"/>
  <c r="H31" i="77"/>
  <c r="H36" i="77"/>
  <c r="I73" i="77"/>
  <c r="H74" i="77"/>
  <c r="H77" i="77"/>
  <c r="H78" i="77"/>
  <c r="D79" i="77"/>
  <c r="D80" i="77" s="1"/>
  <c r="H15" i="77"/>
  <c r="H24" i="77"/>
  <c r="H28" i="77"/>
  <c r="H32" i="77"/>
  <c r="H39" i="77"/>
  <c r="I74" i="77"/>
  <c r="J74" i="77" s="1"/>
  <c r="H20" i="77"/>
  <c r="I39" i="77"/>
  <c r="I91" i="76"/>
  <c r="F82" i="76"/>
  <c r="F24" i="76"/>
  <c r="F22" i="76"/>
  <c r="J24" i="77" l="1"/>
  <c r="L24" i="77"/>
  <c r="J22" i="77"/>
  <c r="L22" i="77"/>
  <c r="I37" i="77"/>
  <c r="J37" i="77" s="1"/>
  <c r="F80" i="77"/>
  <c r="H79" i="77"/>
  <c r="J79" i="77"/>
  <c r="J39" i="77"/>
  <c r="I67" i="77"/>
  <c r="J67" i="77" s="1"/>
  <c r="I75" i="77"/>
  <c r="J75" i="77" s="1"/>
  <c r="J73" i="77"/>
  <c r="H80" i="77"/>
  <c r="I10" i="56"/>
  <c r="I9" i="56"/>
  <c r="I8" i="56"/>
  <c r="I7" i="56"/>
  <c r="F73" i="56"/>
  <c r="F69" i="56"/>
  <c r="F65" i="56"/>
  <c r="F61" i="56"/>
  <c r="F30" i="56"/>
  <c r="F11" i="56"/>
  <c r="F12" i="48"/>
  <c r="F10" i="48"/>
  <c r="F9" i="48"/>
  <c r="F8" i="48"/>
  <c r="C18" i="48"/>
  <c r="C13" i="48"/>
  <c r="C19" i="48" s="1"/>
  <c r="F74" i="76"/>
  <c r="F69" i="76"/>
  <c r="F53" i="76"/>
  <c r="F39" i="76"/>
  <c r="F36" i="76"/>
  <c r="F35" i="76"/>
  <c r="F34" i="76"/>
  <c r="F32" i="76"/>
  <c r="F31" i="76"/>
  <c r="F30" i="76"/>
  <c r="F29" i="76"/>
  <c r="F28" i="76"/>
  <c r="F27" i="76"/>
  <c r="F26" i="76"/>
  <c r="F25" i="76"/>
  <c r="F23" i="76"/>
  <c r="F20" i="76"/>
  <c r="F37" i="76" s="1"/>
  <c r="F79" i="76"/>
  <c r="F75" i="76"/>
  <c r="F71" i="76"/>
  <c r="F67" i="76"/>
  <c r="L84" i="50"/>
  <c r="G15" i="76"/>
  <c r="G14" i="76"/>
  <c r="G13" i="76"/>
  <c r="G12" i="76"/>
  <c r="G79" i="76"/>
  <c r="E79" i="76"/>
  <c r="C79" i="76"/>
  <c r="D78" i="76"/>
  <c r="I78" i="76" s="1"/>
  <c r="J78" i="76" s="1"/>
  <c r="D77" i="76"/>
  <c r="D79" i="76" s="1"/>
  <c r="G75" i="76"/>
  <c r="E75" i="76"/>
  <c r="D75" i="76"/>
  <c r="C75" i="76"/>
  <c r="I74" i="76"/>
  <c r="J74" i="76" s="1"/>
  <c r="H74" i="76"/>
  <c r="D74" i="76"/>
  <c r="I73" i="76"/>
  <c r="I75" i="76" s="1"/>
  <c r="J75" i="76" s="1"/>
  <c r="H73" i="76"/>
  <c r="D73" i="76"/>
  <c r="G71" i="76"/>
  <c r="E71" i="76"/>
  <c r="C71" i="76"/>
  <c r="I70" i="76"/>
  <c r="J70" i="76" s="1"/>
  <c r="D70" i="76"/>
  <c r="H70" i="76" s="1"/>
  <c r="I69" i="76"/>
  <c r="J69" i="76" s="1"/>
  <c r="D69" i="76"/>
  <c r="D71" i="76" s="1"/>
  <c r="E67" i="76"/>
  <c r="C67" i="76"/>
  <c r="I66" i="76"/>
  <c r="J66" i="76" s="1"/>
  <c r="H66" i="76"/>
  <c r="D66" i="76"/>
  <c r="I65" i="76"/>
  <c r="J65" i="76" s="1"/>
  <c r="H65" i="76"/>
  <c r="D65" i="76"/>
  <c r="I64" i="76"/>
  <c r="J64" i="76" s="1"/>
  <c r="H64" i="76"/>
  <c r="D64" i="76"/>
  <c r="I63" i="76"/>
  <c r="J63" i="76" s="1"/>
  <c r="H63" i="76"/>
  <c r="D63" i="76"/>
  <c r="I62" i="76"/>
  <c r="J62" i="76" s="1"/>
  <c r="H62" i="76"/>
  <c r="D62" i="76"/>
  <c r="I61" i="76"/>
  <c r="J61" i="76" s="1"/>
  <c r="H61" i="76"/>
  <c r="D61" i="76"/>
  <c r="G67" i="76"/>
  <c r="D60" i="76"/>
  <c r="I60" i="76" s="1"/>
  <c r="J60" i="76" s="1"/>
  <c r="D59" i="76"/>
  <c r="H59" i="76" s="1"/>
  <c r="D58" i="76"/>
  <c r="H58" i="76" s="1"/>
  <c r="D57" i="76"/>
  <c r="H57" i="76" s="1"/>
  <c r="D56" i="76"/>
  <c r="H56" i="76" s="1"/>
  <c r="D55" i="76"/>
  <c r="H55" i="76" s="1"/>
  <c r="D54" i="76"/>
  <c r="H54" i="76" s="1"/>
  <c r="D53" i="76"/>
  <c r="H53" i="76" s="1"/>
  <c r="D52" i="76"/>
  <c r="H52" i="76" s="1"/>
  <c r="D51" i="76"/>
  <c r="H51" i="76" s="1"/>
  <c r="D50" i="76"/>
  <c r="H50" i="76" s="1"/>
  <c r="D49" i="76"/>
  <c r="H49" i="76" s="1"/>
  <c r="D48" i="76"/>
  <c r="H48" i="76" s="1"/>
  <c r="D47" i="76"/>
  <c r="H47" i="76" s="1"/>
  <c r="D46" i="76"/>
  <c r="H46" i="76" s="1"/>
  <c r="D45" i="76"/>
  <c r="H45" i="76" s="1"/>
  <c r="D44" i="76"/>
  <c r="H44" i="76" s="1"/>
  <c r="D43" i="76"/>
  <c r="H43" i="76" s="1"/>
  <c r="D42" i="76"/>
  <c r="H42" i="76" s="1"/>
  <c r="D41" i="76"/>
  <c r="H41" i="76" s="1"/>
  <c r="D40" i="76"/>
  <c r="H40" i="76" s="1"/>
  <c r="D39" i="76"/>
  <c r="H39" i="76" s="1"/>
  <c r="G37" i="76"/>
  <c r="E37" i="76"/>
  <c r="C37" i="76"/>
  <c r="C80" i="76" s="1"/>
  <c r="D36" i="76"/>
  <c r="H36" i="76" s="1"/>
  <c r="D35" i="76"/>
  <c r="H35" i="76" s="1"/>
  <c r="D34" i="76"/>
  <c r="H34" i="76" s="1"/>
  <c r="D33" i="76"/>
  <c r="H33" i="76" s="1"/>
  <c r="D32" i="76"/>
  <c r="D31" i="76"/>
  <c r="H31" i="76" s="1"/>
  <c r="D30" i="76"/>
  <c r="H30" i="76" s="1"/>
  <c r="D29" i="76"/>
  <c r="H29" i="76" s="1"/>
  <c r="D28" i="76"/>
  <c r="H28" i="76" s="1"/>
  <c r="D27" i="76"/>
  <c r="H27" i="76" s="1"/>
  <c r="D26" i="76"/>
  <c r="H26" i="76" s="1"/>
  <c r="D25" i="76"/>
  <c r="H25" i="76" s="1"/>
  <c r="D24" i="76"/>
  <c r="D23" i="76"/>
  <c r="H23" i="76" s="1"/>
  <c r="D22" i="76"/>
  <c r="H22" i="76" s="1"/>
  <c r="D21" i="76"/>
  <c r="H21" i="76" s="1"/>
  <c r="D20" i="76"/>
  <c r="G16" i="76"/>
  <c r="F16" i="76"/>
  <c r="E16" i="76"/>
  <c r="C16" i="76"/>
  <c r="D15" i="76"/>
  <c r="H15" i="76" s="1"/>
  <c r="D14" i="76"/>
  <c r="H14" i="76" s="1"/>
  <c r="D13" i="76"/>
  <c r="D12" i="76"/>
  <c r="J13" i="50"/>
  <c r="I14" i="50"/>
  <c r="J14" i="50" s="1"/>
  <c r="I13" i="50"/>
  <c r="G16" i="50"/>
  <c r="D15" i="50"/>
  <c r="D14" i="50"/>
  <c r="H14" i="50" s="1"/>
  <c r="D13" i="50"/>
  <c r="H13" i="50" s="1"/>
  <c r="D12" i="50"/>
  <c r="H12" i="50" s="1"/>
  <c r="F31" i="56" l="1"/>
  <c r="I91" i="77"/>
  <c r="F13" i="48"/>
  <c r="J80" i="77"/>
  <c r="I80" i="77"/>
  <c r="F74" i="56"/>
  <c r="G80" i="76"/>
  <c r="F80" i="76"/>
  <c r="F81" i="76" s="1"/>
  <c r="H32" i="76"/>
  <c r="H24" i="76"/>
  <c r="H13" i="76"/>
  <c r="H71" i="76"/>
  <c r="H77" i="76"/>
  <c r="H78" i="76"/>
  <c r="I12" i="50"/>
  <c r="J12" i="50" s="1"/>
  <c r="J73" i="76"/>
  <c r="H75" i="76"/>
  <c r="I77" i="76"/>
  <c r="I71" i="76"/>
  <c r="J71" i="76" s="1"/>
  <c r="E80" i="76"/>
  <c r="D16" i="76"/>
  <c r="H16" i="76" s="1"/>
  <c r="D37" i="76"/>
  <c r="H69" i="76"/>
  <c r="H79" i="76"/>
  <c r="I12" i="76"/>
  <c r="I13" i="76"/>
  <c r="J13" i="76" s="1"/>
  <c r="I14" i="76"/>
  <c r="J14" i="76" s="1"/>
  <c r="I15" i="76"/>
  <c r="J15" i="76" s="1"/>
  <c r="I20" i="76"/>
  <c r="I21" i="76"/>
  <c r="J21" i="76" s="1"/>
  <c r="I22" i="76"/>
  <c r="J22" i="76" s="1"/>
  <c r="I23" i="76"/>
  <c r="J23" i="76" s="1"/>
  <c r="I24" i="76"/>
  <c r="J24" i="76" s="1"/>
  <c r="I25" i="76"/>
  <c r="J25" i="76" s="1"/>
  <c r="I26" i="76"/>
  <c r="J26" i="76" s="1"/>
  <c r="I27" i="76"/>
  <c r="J27" i="76" s="1"/>
  <c r="I28" i="76"/>
  <c r="J28" i="76" s="1"/>
  <c r="I29" i="76"/>
  <c r="J29" i="76" s="1"/>
  <c r="I30" i="76"/>
  <c r="J30" i="76" s="1"/>
  <c r="I31" i="76"/>
  <c r="J31" i="76" s="1"/>
  <c r="I32" i="76"/>
  <c r="J32" i="76" s="1"/>
  <c r="I33" i="76"/>
  <c r="J33" i="76" s="1"/>
  <c r="I34" i="76"/>
  <c r="J34" i="76" s="1"/>
  <c r="I35" i="76"/>
  <c r="J35" i="76" s="1"/>
  <c r="I36" i="76"/>
  <c r="J36" i="76" s="1"/>
  <c r="I39" i="76"/>
  <c r="I40" i="76"/>
  <c r="J40" i="76" s="1"/>
  <c r="I41" i="76"/>
  <c r="J41" i="76" s="1"/>
  <c r="I42" i="76"/>
  <c r="J42" i="76" s="1"/>
  <c r="I43" i="76"/>
  <c r="J43" i="76" s="1"/>
  <c r="I44" i="76"/>
  <c r="J44" i="76" s="1"/>
  <c r="I45" i="76"/>
  <c r="J45" i="76" s="1"/>
  <c r="I46" i="76"/>
  <c r="J46" i="76" s="1"/>
  <c r="I47" i="76"/>
  <c r="J47" i="76" s="1"/>
  <c r="I48" i="76"/>
  <c r="J48" i="76" s="1"/>
  <c r="I49" i="76"/>
  <c r="J49" i="76" s="1"/>
  <c r="I50" i="76"/>
  <c r="J50" i="76" s="1"/>
  <c r="I51" i="76"/>
  <c r="J51" i="76" s="1"/>
  <c r="I52" i="76"/>
  <c r="J52" i="76" s="1"/>
  <c r="I53" i="76"/>
  <c r="J53" i="76" s="1"/>
  <c r="I54" i="76"/>
  <c r="J54" i="76" s="1"/>
  <c r="I55" i="76"/>
  <c r="J55" i="76" s="1"/>
  <c r="I56" i="76"/>
  <c r="J56" i="76" s="1"/>
  <c r="I57" i="76"/>
  <c r="J57" i="76" s="1"/>
  <c r="I58" i="76"/>
  <c r="J58" i="76" s="1"/>
  <c r="I59" i="76"/>
  <c r="J59" i="76" s="1"/>
  <c r="H60" i="76"/>
  <c r="D67" i="76"/>
  <c r="H67" i="76" s="1"/>
  <c r="H12" i="76"/>
  <c r="H20" i="76"/>
  <c r="H37" i="76"/>
  <c r="C72" i="56"/>
  <c r="C71" i="56"/>
  <c r="C68" i="56"/>
  <c r="C67" i="56"/>
  <c r="C63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F17" i="48"/>
  <c r="F16" i="48"/>
  <c r="L80" i="77" l="1"/>
  <c r="I79" i="76"/>
  <c r="J79" i="76" s="1"/>
  <c r="J77" i="76"/>
  <c r="D80" i="76"/>
  <c r="H80" i="76"/>
  <c r="I67" i="76"/>
  <c r="J67" i="76" s="1"/>
  <c r="J39" i="76"/>
  <c r="J20" i="76"/>
  <c r="I37" i="76"/>
  <c r="J12" i="76"/>
  <c r="I16" i="76"/>
  <c r="J16" i="76" s="1"/>
  <c r="E95" i="36"/>
  <c r="I80" i="76" l="1"/>
  <c r="I81" i="76" s="1"/>
  <c r="J37" i="76"/>
  <c r="J80" i="76" s="1"/>
  <c r="C9" i="56"/>
  <c r="C8" i="56"/>
  <c r="C7" i="56"/>
  <c r="G12" i="75"/>
  <c r="H14" i="75"/>
  <c r="H73" i="56"/>
  <c r="H69" i="56"/>
  <c r="H65" i="56"/>
  <c r="H61" i="56"/>
  <c r="H11" i="56"/>
  <c r="E18" i="48"/>
  <c r="F18" i="48" s="1"/>
  <c r="E13" i="48"/>
  <c r="D78" i="50"/>
  <c r="I78" i="50" s="1"/>
  <c r="D77" i="50"/>
  <c r="I77" i="50" s="1"/>
  <c r="D74" i="50"/>
  <c r="I74" i="50" s="1"/>
  <c r="D73" i="50"/>
  <c r="I73" i="50" s="1"/>
  <c r="D70" i="50"/>
  <c r="I70" i="50" s="1"/>
  <c r="D69" i="50"/>
  <c r="I69" i="50" s="1"/>
  <c r="D66" i="50"/>
  <c r="I66" i="50" s="1"/>
  <c r="D65" i="50"/>
  <c r="I65" i="50" s="1"/>
  <c r="D64" i="50"/>
  <c r="I64" i="50" s="1"/>
  <c r="D63" i="50"/>
  <c r="I63" i="50" s="1"/>
  <c r="D62" i="50"/>
  <c r="I62" i="50" s="1"/>
  <c r="D61" i="50"/>
  <c r="I61" i="50" s="1"/>
  <c r="D60" i="50"/>
  <c r="I60" i="50" s="1"/>
  <c r="D59" i="50"/>
  <c r="I59" i="50" s="1"/>
  <c r="D58" i="50"/>
  <c r="I58" i="50" s="1"/>
  <c r="D57" i="50"/>
  <c r="I57" i="50" s="1"/>
  <c r="D56" i="50"/>
  <c r="I56" i="50" s="1"/>
  <c r="D55" i="50"/>
  <c r="I55" i="50" s="1"/>
  <c r="D54" i="50"/>
  <c r="I54" i="50" s="1"/>
  <c r="D53" i="50"/>
  <c r="I53" i="50" s="1"/>
  <c r="D52" i="50"/>
  <c r="I52" i="50" s="1"/>
  <c r="D51" i="50"/>
  <c r="I51" i="50" s="1"/>
  <c r="D50" i="50"/>
  <c r="I50" i="50" s="1"/>
  <c r="D49" i="50"/>
  <c r="I49" i="50" s="1"/>
  <c r="D48" i="50"/>
  <c r="I48" i="50" s="1"/>
  <c r="D47" i="50"/>
  <c r="I47" i="50" s="1"/>
  <c r="D46" i="50"/>
  <c r="I46" i="50" s="1"/>
  <c r="D45" i="50"/>
  <c r="I45" i="50" s="1"/>
  <c r="D44" i="50"/>
  <c r="I44" i="50" s="1"/>
  <c r="D43" i="50"/>
  <c r="I43" i="50" s="1"/>
  <c r="D42" i="50"/>
  <c r="I42" i="50" s="1"/>
  <c r="D41" i="50"/>
  <c r="I41" i="50" s="1"/>
  <c r="D40" i="50"/>
  <c r="I40" i="50" s="1"/>
  <c r="D39" i="50"/>
  <c r="I39" i="50" s="1"/>
  <c r="C67" i="50"/>
  <c r="D36" i="50"/>
  <c r="I36" i="50" s="1"/>
  <c r="D35" i="50"/>
  <c r="I35" i="50" s="1"/>
  <c r="D34" i="50"/>
  <c r="I34" i="50" s="1"/>
  <c r="D33" i="50"/>
  <c r="I33" i="50" s="1"/>
  <c r="D32" i="50"/>
  <c r="I32" i="50" s="1"/>
  <c r="D31" i="50"/>
  <c r="I31" i="50" s="1"/>
  <c r="D30" i="50"/>
  <c r="I30" i="50" s="1"/>
  <c r="D29" i="50"/>
  <c r="I29" i="50" s="1"/>
  <c r="D28" i="50"/>
  <c r="I28" i="50" s="1"/>
  <c r="D27" i="50"/>
  <c r="I27" i="50" s="1"/>
  <c r="D26" i="50"/>
  <c r="I26" i="50" s="1"/>
  <c r="D25" i="50"/>
  <c r="I25" i="50" s="1"/>
  <c r="D24" i="50"/>
  <c r="I24" i="50" s="1"/>
  <c r="D23" i="50"/>
  <c r="I23" i="50" s="1"/>
  <c r="D22" i="50"/>
  <c r="I22" i="50" s="1"/>
  <c r="D21" i="50"/>
  <c r="I21" i="50" s="1"/>
  <c r="D20" i="50"/>
  <c r="I20" i="50" s="1"/>
  <c r="C37" i="50"/>
  <c r="C71" i="50"/>
  <c r="C75" i="50"/>
  <c r="C64" i="56"/>
  <c r="E18" i="36"/>
  <c r="E97" i="36"/>
  <c r="E94" i="36" s="1"/>
  <c r="E91" i="36"/>
  <c r="E90" i="36"/>
  <c r="E88" i="36"/>
  <c r="E87" i="36"/>
  <c r="E76" i="36"/>
  <c r="E70" i="36"/>
  <c r="E66" i="36"/>
  <c r="E58" i="36"/>
  <c r="E56" i="36"/>
  <c r="E52" i="36"/>
  <c r="E51" i="36"/>
  <c r="E50" i="36"/>
  <c r="E49" i="36"/>
  <c r="D67" i="50" l="1"/>
  <c r="E86" i="36"/>
  <c r="H31" i="56"/>
  <c r="H74" i="56" s="1"/>
  <c r="E19" i="48"/>
  <c r="F19" i="48" s="1"/>
  <c r="H13" i="75"/>
  <c r="H12" i="75" s="1"/>
  <c r="F12" i="75"/>
  <c r="D71" i="50"/>
  <c r="D75" i="50"/>
  <c r="D37" i="50"/>
  <c r="D16" i="50"/>
  <c r="H16" i="50" s="1"/>
  <c r="C16" i="50"/>
  <c r="E55" i="36"/>
  <c r="E65" i="36"/>
  <c r="E54" i="36" l="1"/>
  <c r="E48" i="36" s="1"/>
  <c r="E43" i="36" l="1"/>
  <c r="E40" i="36"/>
  <c r="E32" i="36"/>
  <c r="E29" i="36" s="1"/>
  <c r="E27" i="36"/>
  <c r="E26" i="36" s="1"/>
  <c r="E22" i="36"/>
  <c r="J21" i="36"/>
  <c r="J20" i="36" s="1"/>
  <c r="J19" i="36" s="1"/>
  <c r="J18" i="36" s="1"/>
  <c r="J17" i="36" s="1"/>
  <c r="J16" i="36" s="1"/>
  <c r="J24" i="36" s="1"/>
  <c r="J51" i="50"/>
  <c r="E39" i="36" l="1"/>
  <c r="E17" i="36"/>
  <c r="H51" i="50"/>
  <c r="E51" i="56"/>
  <c r="E46" i="56"/>
  <c r="E72" i="56"/>
  <c r="E16" i="36" l="1"/>
  <c r="E15" i="36" s="1"/>
  <c r="E14" i="36" s="1"/>
  <c r="E13" i="36" s="1"/>
  <c r="E100" i="36" s="1"/>
  <c r="E30" i="56"/>
  <c r="E71" i="56"/>
  <c r="I11" i="56" l="1"/>
  <c r="C79" i="50" l="1"/>
  <c r="C80" i="50" l="1"/>
  <c r="F79" i="50" l="1"/>
  <c r="F75" i="50"/>
  <c r="F71" i="50"/>
  <c r="F67" i="50"/>
  <c r="F37" i="50"/>
  <c r="F16" i="50"/>
  <c r="E79" i="50"/>
  <c r="E75" i="50"/>
  <c r="E71" i="50"/>
  <c r="E67" i="50"/>
  <c r="E37" i="50"/>
  <c r="E16" i="50"/>
  <c r="E80" i="50" l="1"/>
  <c r="F80" i="50"/>
  <c r="D73" i="56"/>
  <c r="G79" i="50" l="1"/>
  <c r="E26" i="56"/>
  <c r="E25" i="56"/>
  <c r="E24" i="56"/>
  <c r="E23" i="56"/>
  <c r="E21" i="56"/>
  <c r="E20" i="56"/>
  <c r="B69" i="56"/>
  <c r="B65" i="56"/>
  <c r="B61" i="56"/>
  <c r="B31" i="56"/>
  <c r="B73" i="56"/>
  <c r="E60" i="56"/>
  <c r="E59" i="56"/>
  <c r="E58" i="56"/>
  <c r="E57" i="56"/>
  <c r="E56" i="56"/>
  <c r="E55" i="56"/>
  <c r="E53" i="56"/>
  <c r="E52" i="56"/>
  <c r="E50" i="56"/>
  <c r="E49" i="56"/>
  <c r="E48" i="56"/>
  <c r="E47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29" i="56"/>
  <c r="E28" i="56"/>
  <c r="E27" i="56"/>
  <c r="E22" i="56"/>
  <c r="E19" i="56"/>
  <c r="E18" i="56"/>
  <c r="E17" i="56"/>
  <c r="E16" i="56"/>
  <c r="E15" i="56"/>
  <c r="E14" i="56"/>
  <c r="C10" i="56"/>
  <c r="B74" i="56" l="1"/>
  <c r="E73" i="56"/>
  <c r="H20" i="50"/>
  <c r="J20" i="50"/>
  <c r="H22" i="50"/>
  <c r="H24" i="50"/>
  <c r="H26" i="50"/>
  <c r="H28" i="50"/>
  <c r="H30" i="50"/>
  <c r="H32" i="50"/>
  <c r="H34" i="50"/>
  <c r="J34" i="50"/>
  <c r="H36" i="50"/>
  <c r="J36" i="50"/>
  <c r="H39" i="50"/>
  <c r="H41" i="50"/>
  <c r="H43" i="50"/>
  <c r="H46" i="50"/>
  <c r="H48" i="50"/>
  <c r="H50" i="50"/>
  <c r="J53" i="50"/>
  <c r="H53" i="50"/>
  <c r="J55" i="50"/>
  <c r="H55" i="50"/>
  <c r="J57" i="50"/>
  <c r="H57" i="50"/>
  <c r="J62" i="50"/>
  <c r="H62" i="50"/>
  <c r="J64" i="50"/>
  <c r="H64" i="50"/>
  <c r="J66" i="50"/>
  <c r="H66" i="50"/>
  <c r="H69" i="50"/>
  <c r="J74" i="50"/>
  <c r="H74" i="50"/>
  <c r="H77" i="50"/>
  <c r="J77" i="50"/>
  <c r="J21" i="50"/>
  <c r="H21" i="50"/>
  <c r="H23" i="50"/>
  <c r="H25" i="50"/>
  <c r="H27" i="50"/>
  <c r="H29" i="50"/>
  <c r="H31" i="50"/>
  <c r="H33" i="50"/>
  <c r="J35" i="50"/>
  <c r="H35" i="50"/>
  <c r="H40" i="50"/>
  <c r="H42" i="50"/>
  <c r="H44" i="50"/>
  <c r="H45" i="50"/>
  <c r="H47" i="50"/>
  <c r="H49" i="50"/>
  <c r="H52" i="50"/>
  <c r="H54" i="50"/>
  <c r="J54" i="50"/>
  <c r="H56" i="50"/>
  <c r="J56" i="50"/>
  <c r="H58" i="50"/>
  <c r="J58" i="50"/>
  <c r="H59" i="50"/>
  <c r="J59" i="50"/>
  <c r="H61" i="50"/>
  <c r="J61" i="50"/>
  <c r="H63" i="50"/>
  <c r="J63" i="50"/>
  <c r="H65" i="50"/>
  <c r="J65" i="50"/>
  <c r="J70" i="50"/>
  <c r="H70" i="50"/>
  <c r="H73" i="50"/>
  <c r="J73" i="50"/>
  <c r="J78" i="50"/>
  <c r="H78" i="50"/>
  <c r="D79" i="50"/>
  <c r="H79" i="50" s="1"/>
  <c r="C31" i="56"/>
  <c r="C61" i="56"/>
  <c r="C65" i="56"/>
  <c r="C69" i="56"/>
  <c r="C73" i="56"/>
  <c r="C11" i="56"/>
  <c r="D80" i="50" l="1"/>
  <c r="C74" i="56"/>
  <c r="I75" i="50"/>
  <c r="J75" i="50" s="1"/>
  <c r="I37" i="50"/>
  <c r="I79" i="50"/>
  <c r="J79" i="50" s="1"/>
  <c r="J37" i="50" l="1"/>
  <c r="D69" i="56"/>
  <c r="E33" i="56"/>
  <c r="E68" i="56"/>
  <c r="E64" i="56"/>
  <c r="B11" i="56"/>
  <c r="B75" i="56" s="1"/>
  <c r="D31" i="56"/>
  <c r="D65" i="56"/>
  <c r="E63" i="56"/>
  <c r="I15" i="50"/>
  <c r="J15" i="50" s="1"/>
  <c r="J22" i="50"/>
  <c r="J23" i="50"/>
  <c r="J24" i="50"/>
  <c r="J28" i="50"/>
  <c r="J29" i="50"/>
  <c r="J33" i="50"/>
  <c r="J40" i="50"/>
  <c r="J42" i="50"/>
  <c r="J47" i="50"/>
  <c r="J49" i="50"/>
  <c r="J50" i="50"/>
  <c r="J52" i="50"/>
  <c r="J30" i="50"/>
  <c r="G60" i="50"/>
  <c r="E54" i="56" s="1"/>
  <c r="G37" i="50"/>
  <c r="J32" i="50"/>
  <c r="J41" i="50"/>
  <c r="J44" i="50"/>
  <c r="J48" i="50"/>
  <c r="J25" i="50"/>
  <c r="H15" i="50"/>
  <c r="J46" i="50"/>
  <c r="J43" i="50"/>
  <c r="J27" i="50"/>
  <c r="J45" i="50"/>
  <c r="J26" i="50"/>
  <c r="J39" i="50"/>
  <c r="D61" i="56" l="1"/>
  <c r="D74" i="56" s="1"/>
  <c r="H37" i="50"/>
  <c r="H60" i="50"/>
  <c r="I67" i="50"/>
  <c r="I16" i="50"/>
  <c r="J16" i="50" s="1"/>
  <c r="G67" i="50"/>
  <c r="H67" i="50" s="1"/>
  <c r="I61" i="56"/>
  <c r="I31" i="56"/>
  <c r="J31" i="50"/>
  <c r="E65" i="56"/>
  <c r="E61" i="56"/>
  <c r="E31" i="56"/>
  <c r="E67" i="56"/>
  <c r="E69" i="56" s="1"/>
  <c r="J67" i="50" l="1"/>
  <c r="E74" i="56"/>
  <c r="J60" i="50"/>
  <c r="G71" i="50"/>
  <c r="H71" i="50" s="1"/>
  <c r="G75" i="50"/>
  <c r="H75" i="50" s="1"/>
  <c r="G80" i="50" l="1"/>
  <c r="I91" i="50" s="1"/>
  <c r="H80" i="50"/>
  <c r="I71" i="50"/>
  <c r="J69" i="50"/>
  <c r="J71" i="50" l="1"/>
  <c r="J80" i="50" s="1"/>
  <c r="I80" i="50"/>
  <c r="I69" i="56"/>
  <c r="I74" i="56"/>
  <c r="I65" i="56"/>
  <c r="I73" i="56"/>
</calcChain>
</file>

<file path=xl/sharedStrings.xml><?xml version="1.0" encoding="utf-8"?>
<sst xmlns="http://schemas.openxmlformats.org/spreadsheetml/2006/main" count="671" uniqueCount="347">
  <si>
    <t>INSTITUTO FINANCIERO PARA EL DESARROLLO DE SANTANDER</t>
  </si>
  <si>
    <t>DETALLE</t>
  </si>
  <si>
    <t>PTO  APROBADO</t>
  </si>
  <si>
    <t>TOTAL DE   INGRESOS</t>
  </si>
  <si>
    <t>PRESUPUESTO DE GASTOS</t>
  </si>
  <si>
    <t>PRIMA DE VACACIONES</t>
  </si>
  <si>
    <t>PRIMA DE NAVIDAD</t>
  </si>
  <si>
    <t>INDEMNIZACION DE VACACIONES</t>
  </si>
  <si>
    <t>SUB TOTAL</t>
  </si>
  <si>
    <t>GASTOS GENERALES</t>
  </si>
  <si>
    <t>EVENTOS</t>
  </si>
  <si>
    <t>CAPACITACION DE PERSONAL</t>
  </si>
  <si>
    <t>GASTOS IMPREVISTOS</t>
  </si>
  <si>
    <t>SERVICIOS PUBLICOS</t>
  </si>
  <si>
    <t>BIENESTAR SOCIAL</t>
  </si>
  <si>
    <t>SUBTOTAL</t>
  </si>
  <si>
    <t>CESANTIAS</t>
  </si>
  <si>
    <t>OPERACIÓN COMERCIAL</t>
  </si>
  <si>
    <t>TOTAL PRESUPUESTO DE GASTOS</t>
  </si>
  <si>
    <t>CONCEPTO</t>
  </si>
  <si>
    <t>ENERO</t>
  </si>
  <si>
    <t>TOTALES</t>
  </si>
  <si>
    <t>INGRESOS NO TRIBUTARIOS</t>
  </si>
  <si>
    <t>TOTAL INGRESOS NO TRIBUTARIOS</t>
  </si>
  <si>
    <t>RECURSOS DE CAPITAL</t>
  </si>
  <si>
    <t>VENTA DE ACTIVOS NO FROS AL SECTOR PRIVADO</t>
  </si>
  <si>
    <t>OTROS RECURSOS DE BALANCE</t>
  </si>
  <si>
    <t>TOTAL RECURSOS DE CAPITAL</t>
  </si>
  <si>
    <t>TOTAL INGRESOS  REALES</t>
  </si>
  <si>
    <t xml:space="preserve"> </t>
  </si>
  <si>
    <t>% de</t>
  </si>
  <si>
    <t>P.APRO.MODIF.TRAS</t>
  </si>
  <si>
    <t>OBLIGACI.CONTRAID</t>
  </si>
  <si>
    <t>EJEC.</t>
  </si>
  <si>
    <t>P. POR EJECUAR</t>
  </si>
  <si>
    <t>DISPO.</t>
  </si>
  <si>
    <t xml:space="preserve">               PRESUPUESTOS  DE INGRESOS</t>
  </si>
  <si>
    <t>REALES Y CAUSADOS</t>
  </si>
  <si>
    <t>´0203</t>
  </si>
  <si>
    <t>´0224</t>
  </si>
  <si>
    <t>´0217</t>
  </si>
  <si>
    <t>´0320</t>
  </si>
  <si>
    <t>´0370</t>
  </si>
  <si>
    <t>´0360</t>
  </si>
  <si>
    <t>´0350</t>
  </si>
  <si>
    <t>´0331</t>
  </si>
  <si>
    <t>INTERESES A LAS CESANTIAS</t>
  </si>
  <si>
    <t>COMPRA D|</t>
  </si>
  <si>
    <t>INCENTIVOS</t>
  </si>
  <si>
    <t>INGRESADO</t>
  </si>
  <si>
    <t>PAGADO</t>
  </si>
  <si>
    <t>TOTAL INGRESADO</t>
  </si>
  <si>
    <t>TOTAL PAGADO</t>
  </si>
  <si>
    <t>PTO EJECUTADO</t>
  </si>
  <si>
    <t>PTO POR EJECUTAR</t>
  </si>
  <si>
    <t>Venta de Servicios Financieros</t>
  </si>
  <si>
    <t>Recuperacion Intereses Corrientes</t>
  </si>
  <si>
    <t>Intereses correccion Monetaria</t>
  </si>
  <si>
    <t>Otros Ingresos No Tributarios</t>
  </si>
  <si>
    <t>Factores Salariales Comunes</t>
  </si>
  <si>
    <t>Prima de Servicios</t>
  </si>
  <si>
    <t>Prima de Navidad</t>
  </si>
  <si>
    <t>Prima de Vacaciones</t>
  </si>
  <si>
    <t>Prestaciones Sociales</t>
  </si>
  <si>
    <t>Factores Salariales Especiales</t>
  </si>
  <si>
    <t>Cesantias</t>
  </si>
  <si>
    <t>Aportes Generales al Sistema de Riesgos Laborales</t>
  </si>
  <si>
    <t>Aportes al ICBF</t>
  </si>
  <si>
    <t>Aportes al SENA</t>
  </si>
  <si>
    <t>Remuneraciones no constitutivas de factor salarial</t>
  </si>
  <si>
    <t>Bienestar Social</t>
  </si>
  <si>
    <t>Estimulos Funcionarios</t>
  </si>
  <si>
    <t>Eventos</t>
  </si>
  <si>
    <t>Elementos de Aseo y Cafeteria</t>
  </si>
  <si>
    <t>Compra de Combustible</t>
  </si>
  <si>
    <t>Incentivos</t>
  </si>
  <si>
    <t>Mantenimiento edificio y servicios varios de personal</t>
  </si>
  <si>
    <t>Auxilio sindical (no de pensiones)</t>
  </si>
  <si>
    <t>Fallos nacionales</t>
  </si>
  <si>
    <t>Sentencias</t>
  </si>
  <si>
    <t>Conciliaciones</t>
  </si>
  <si>
    <t>Impuestos</t>
  </si>
  <si>
    <t>Recuperación Intereses Moratorios</t>
  </si>
  <si>
    <t>OTROS  INGRESOS NO TRIBUTARIOS</t>
  </si>
  <si>
    <t>VENTA DE SERVICIOS FINANCIEROS</t>
  </si>
  <si>
    <t>SUELDO BASICO</t>
  </si>
  <si>
    <t xml:space="preserve">PRIMA  DE SERVICIOS  </t>
  </si>
  <si>
    <t>BONIFICACION * SERVICIO PRESTADOS</t>
  </si>
  <si>
    <t>BENEFICIOS DE EMPLEADOS A CORTO PLAZO</t>
  </si>
  <si>
    <t>APORTES SEGURIDAD SOCIAL EN SALUD</t>
  </si>
  <si>
    <t>APORTES SEGURIDAD SOCIAL EN PENSIONES</t>
  </si>
  <si>
    <t>APORTES A CAJA COMPENSACION FAMILIAR</t>
  </si>
  <si>
    <t>APORTES GENERALES SISTEMA RIESGOS LABORALES</t>
  </si>
  <si>
    <t>APORTES AL I.C.B.F</t>
  </si>
  <si>
    <t>APORTES AL SENA.</t>
  </si>
  <si>
    <t>BONIFICACION ESPECIAL * RECREACION</t>
  </si>
  <si>
    <t>HONORARIOS PROFESIONALES</t>
  </si>
  <si>
    <t>REMUNERACION DE SERVICIOS TECNICOS</t>
  </si>
  <si>
    <t>VIATICOS DE LOS FUNCIONARIOS EN COMISION</t>
  </si>
  <si>
    <t>ESTIMULOS FUNCIONARIOS</t>
  </si>
  <si>
    <t>PROGRAMA DE SALUD OCUPACIONAL</t>
  </si>
  <si>
    <t>MAQUINARIA DE INFORMATICA Y SUS PARTES,PIEZAS Y ACCESORIOS</t>
  </si>
  <si>
    <t>PAPELERIA Y ELEMENTOS DE OFICINA</t>
  </si>
  <si>
    <t>ELEMENTOS DE ASEO Y CAFETERIA</t>
  </si>
  <si>
    <t>LICENCIAS DE SOFTWARE</t>
  </si>
  <si>
    <t>COMPRA DE COMBUSTIBLE</t>
  </si>
  <si>
    <t>ARTICULOS PUBLICITARIOS</t>
  </si>
  <si>
    <t>SERVICIOS DE REPARTO DE DOCUMENTOS</t>
  </si>
  <si>
    <t>POLIZAS DE SEGUROS</t>
  </si>
  <si>
    <t>CUOTA AFILIACION SOSTENIMIENTO INFIS</t>
  </si>
  <si>
    <t>CONTINGENCIA DEL NEGOCIO</t>
  </si>
  <si>
    <t>PLAN DE MEDIOS Y PUBLICACION ELECTRONICAS</t>
  </si>
  <si>
    <t>MANTENIMIENTO DE SOFTWARE</t>
  </si>
  <si>
    <t>MANTENIMIENTO DE EQUIPOS DE COMPUTACION Y COMUNICACIONES</t>
  </si>
  <si>
    <t>MANTENIMIENTO EQUIPOS ELECTROMECANICOS Y AIRES ACONDICIONADOS</t>
  </si>
  <si>
    <t>MANTENIMIENTO DE EQUIPO AUTOMOTOR</t>
  </si>
  <si>
    <t>MANTENIMIENTO EDIFICIO Y SERVICIOS VARIOS DE PERSONAL</t>
  </si>
  <si>
    <t>OTROS MANTENIMIENTOS (RECARGAS EXTINTORES Y PORTON ELECTRICO)</t>
  </si>
  <si>
    <t>IMPUESTO PREDIAL</t>
  </si>
  <si>
    <t>CUOTA DE FISCALIZACION Y AUDITAJE</t>
  </si>
  <si>
    <t>AUXILIO SINDICAL (NO DE PENSIONES)</t>
  </si>
  <si>
    <t>TRANSFERENCIAS CORRIENTES</t>
  </si>
  <si>
    <t>GASTOS DE COMERCIALIZACION Y PRODUCCION</t>
  </si>
  <si>
    <t>OTROS GASTOS DE FUNCIONAMIENTO</t>
  </si>
  <si>
    <t>SENTENCIAS</t>
  </si>
  <si>
    <t>CONCILIACIONES</t>
  </si>
  <si>
    <t>GASTOS DE PERSONAL</t>
  </si>
  <si>
    <t>P. COMPROMETIDO</t>
  </si>
  <si>
    <t>Impuesto Predial</t>
  </si>
  <si>
    <t>IDESAN</t>
  </si>
  <si>
    <t>SECCION:</t>
  </si>
  <si>
    <t>INSTITUTO   DESCENTRALIZADO DEL  ORDEN  DEPARTAMENTAL</t>
  </si>
  <si>
    <t>ORGANO:</t>
  </si>
  <si>
    <t>INSTITUTO FINANCIERO PARA EL DESARROLLO DE SANTANDER  "IDESAN"</t>
  </si>
  <si>
    <t>CODIGO</t>
  </si>
  <si>
    <t>NOMBRE DE LA CUENTA</t>
  </si>
  <si>
    <t>GASTOS</t>
  </si>
  <si>
    <t>2.1.</t>
  </si>
  <si>
    <t>GASTOS DE 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</si>
  <si>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</si>
  <si>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</si>
  <si>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</si>
  <si>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</si>
  <si>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</si>
  <si>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</si>
  <si>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</si>
  <si>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2.1.1.01.01.001.01</t>
  </si>
  <si>
    <t>Sueldo Básico</t>
  </si>
  <si>
    <t>2.1.1.01.01.001.06</t>
  </si>
  <si>
    <t>2.1.1.01.01.001.07</t>
  </si>
  <si>
    <t>Bonificación por Servicios Prestados</t>
  </si>
  <si>
    <t>2.1.1.01.01.001.08</t>
  </si>
  <si>
    <t>2.1.1.01.01.001.08.01</t>
  </si>
  <si>
    <t>2.1.1.01.01.001.08.02</t>
  </si>
  <si>
    <t>2.1.1.01.01.001.08.10</t>
  </si>
  <si>
    <t>Viáticos de los funcionarios en Comisión</t>
  </si>
  <si>
    <t>2.1.1.01.01.002</t>
  </si>
  <si>
    <t>2.1.1.01.01.002.12</t>
  </si>
  <si>
    <t>Prima de Antigüedad</t>
  </si>
  <si>
    <t>2.1.1.01.01.002.12.001</t>
  </si>
  <si>
    <t>Beneficios de empleados a corto plazo</t>
  </si>
  <si>
    <t>2.1.1.01.02</t>
  </si>
  <si>
    <t xml:space="preserve">Contribuciones inherentes a la nómina 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</si>
  <si>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</si>
  <si>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</si>
  <si>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</si>
  <si>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</si>
  <si>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</si>
  <si>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>Aportes de Cesantías</t>
  </si>
  <si>
    <t>2.1.1.01.02.003.01</t>
  </si>
  <si>
    <t>2.1.1.01.02.003.02</t>
  </si>
  <si>
    <t>Intereses a las  Cesantias</t>
  </si>
  <si>
    <t>2.1.1.01.02.004</t>
  </si>
  <si>
    <t>aportes a Cajas de Compensación Familiar</t>
  </si>
  <si>
    <t>2.1.1.01.02.005</t>
  </si>
  <si>
    <t>2.1.1.01.02.006</t>
  </si>
  <si>
    <t>2.1.1.01.02.007</t>
  </si>
  <si>
    <t>2.1.1.01.03</t>
  </si>
  <si>
    <t>2.1.1.01.03.001</t>
  </si>
  <si>
    <t>2.1.1.01.03.001.02</t>
  </si>
  <si>
    <t>Indemnización de Vacaciones</t>
  </si>
  <si>
    <t>2.1.1.01.03.001.03</t>
  </si>
  <si>
    <t>Bonificación Especial de Recreación</t>
  </si>
  <si>
    <t>2.1.1.01.03.020</t>
  </si>
  <si>
    <t>Bienestar Social, estimulos y capacitación empleados</t>
  </si>
  <si>
    <t>2.1.1.01.03.020.01</t>
  </si>
  <si>
    <t>2.1.1.01.03.020.02</t>
  </si>
  <si>
    <t>2.1.1.01.03.020.03</t>
  </si>
  <si>
    <t>Capacitación de Personal</t>
  </si>
  <si>
    <t>2.1.1.01.03.020.04</t>
  </si>
  <si>
    <t>programa de Salud Ocupacional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</si>
  <si>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</si>
  <si>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</si>
  <si>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</si>
  <si>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</si>
  <si>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</si>
  <si>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</si>
  <si>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</si>
  <si>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</si>
  <si>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</si>
  <si>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</si>
  <si>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2.1.2.01.01.003.03.02</t>
  </si>
  <si>
    <t>Maquinaria de informática y sus partes, piezas y accesorios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</si>
  <si>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</si>
  <si>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</si>
  <si>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</si>
  <si>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</si>
  <si>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</si>
  <si>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</si>
  <si>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2.1.2.02.01.002.001</t>
  </si>
  <si>
    <t>2.1.2.02.01.003</t>
  </si>
  <si>
    <t>Otros bienes transportables (excepto productos metálicos, maquinaria y equipo)</t>
  </si>
  <si>
    <t>2.1.2.02.01.003.001</t>
  </si>
  <si>
    <t>Papeleria y  elementos de oficina</t>
  </si>
  <si>
    <t>2.1.2.02.01.003.002</t>
  </si>
  <si>
    <t>2.1.2.02.01.003.003</t>
  </si>
  <si>
    <t>Licencias de Software</t>
  </si>
  <si>
    <t>2.1.2.02.01.003.004</t>
  </si>
  <si>
    <t>2.1.2.02.01.003.005</t>
  </si>
  <si>
    <t>Artículos publicitarios</t>
  </si>
  <si>
    <t>2.1.2.02.01.003.006</t>
  </si>
  <si>
    <t>Compra de tinta y toner</t>
  </si>
  <si>
    <t>2.1.2.02.02</t>
  </si>
  <si>
    <t>Adquisición de servicios</t>
  </si>
  <si>
    <t>2.1.2.02.02.006</t>
  </si>
  <si>
    <t>Servicios de alojamiento; servicios de suministro de comidas y bebidas; servicios de transporte; y servicios de distribución de electricidad, gas y agua</t>
  </si>
  <si>
    <t>2.1.2.02.02.006.001</t>
  </si>
  <si>
    <t>Servicios de Reparto de documentos</t>
  </si>
  <si>
    <t>2.1.2.02.02.006.002</t>
  </si>
  <si>
    <t>Servicios Públicos</t>
  </si>
  <si>
    <t>2.1.2.02.02.006.003</t>
  </si>
  <si>
    <t>Gastos imprevistos</t>
  </si>
  <si>
    <t>2.1.2.02.02.007</t>
  </si>
  <si>
    <t>Servicios financieros y servicios conexos, servicios inmobiliarios y servicios de leasing</t>
  </si>
  <si>
    <t>2.1.2.02.02.007.001</t>
  </si>
  <si>
    <t>Pólizas de Seguros</t>
  </si>
  <si>
    <t>2.1.2.02.02.007.002</t>
  </si>
  <si>
    <t>Cuota Afiliación Sostenimiento Infis</t>
  </si>
  <si>
    <t>2.1.2.02.02.007.003</t>
  </si>
  <si>
    <t>Continuidad del negocio</t>
  </si>
  <si>
    <t>2.1.2.02.02.007.004</t>
  </si>
  <si>
    <t>Operación Comercial</t>
  </si>
  <si>
    <t>2.1.2.02.02.007.005</t>
  </si>
  <si>
    <t>2.1.2.02.02.008</t>
  </si>
  <si>
    <t xml:space="preserve">Servicios prestados a las empresas y servicios de producción </t>
  </si>
  <si>
    <t>2.1.2.02.02.008.001</t>
  </si>
  <si>
    <t>Honorarios profesionales</t>
  </si>
  <si>
    <t>2.1.2.02.02.008.002</t>
  </si>
  <si>
    <t>Remuneración de servicios técnicos</t>
  </si>
  <si>
    <t>2.1.2.02.02.008.003</t>
  </si>
  <si>
    <t>Plan de medios y publicación electrónicas</t>
  </si>
  <si>
    <t>2.1.2.02.02.008.004</t>
  </si>
  <si>
    <t>Mantenimiento de Software</t>
  </si>
  <si>
    <t>2.1.2.02.02.008.005</t>
  </si>
  <si>
    <t>Mantenimiento de  Equipos de Computación y Comunicación</t>
  </si>
  <si>
    <t>2.1.2.02.02.008.006</t>
  </si>
  <si>
    <t>Mantenimiento Equipos Electromecánicos y Aires Acondicionados</t>
  </si>
  <si>
    <t>2.1.2.02.02.008.007</t>
  </si>
  <si>
    <t>Mantenimiento de Equipo Automotor</t>
  </si>
  <si>
    <t>2.1.2.02.02.008.008</t>
  </si>
  <si>
    <t>2.1.2.02.02.008.009</t>
  </si>
  <si>
    <t>Otrosmantenimientos (Recargas extintores y portón eléctrico)</t>
  </si>
  <si>
    <t>2.1.3</t>
  </si>
  <si>
    <t>Transferencias corrientes</t>
  </si>
  <si>
    <t>2.1.3.07</t>
  </si>
  <si>
    <t>Prestaciones para cubrir riesgos sociales</t>
  </si>
  <si>
    <t>2.1.3.07.02</t>
  </si>
  <si>
    <t>Prestaciones sociales relacionadas con el empleo</t>
  </si>
  <si>
    <t>2.1.3.07.02.030</t>
  </si>
  <si>
    <t>2.1.3.13</t>
  </si>
  <si>
    <t>Sentencias y conciliaciones</t>
  </si>
  <si>
    <t>2.1.3.13.01</t>
  </si>
  <si>
    <t>2.1.3.13.01.001</t>
  </si>
  <si>
    <t>2.1.3.13.01.002</t>
  </si>
  <si>
    <t>2.1.8</t>
  </si>
  <si>
    <t>Gastos por tributos, multas, sanciones e intereses de mora</t>
  </si>
  <si>
    <t>2.1.8.01</t>
  </si>
  <si>
    <t>2.1.8.01.52</t>
  </si>
  <si>
    <t>2.1.8.04</t>
  </si>
  <si>
    <t>Contribuciones</t>
  </si>
  <si>
    <t>2.1.8.04.01</t>
  </si>
  <si>
    <t>Cuota de fiscalización y auditaje</t>
  </si>
  <si>
    <t>1</t>
  </si>
  <si>
    <t>Ingresos</t>
  </si>
  <si>
    <t>1.1</t>
  </si>
  <si>
    <t>Ingresos Corrientes</t>
  </si>
  <si>
    <t>1.1.02</t>
  </si>
  <si>
    <t>Ingresos no tributarios</t>
  </si>
  <si>
    <t>1.1.02.05</t>
  </si>
  <si>
    <t>Venta de bienes y servicios</t>
  </si>
  <si>
    <t>1.1.02.05.001</t>
  </si>
  <si>
    <t>Ventas de establecimientos de mercado</t>
  </si>
  <si>
    <t>1.1.02.05.001.07</t>
  </si>
  <si>
    <t>1.1.02.05.001.07.01</t>
  </si>
  <si>
    <t>1.1.02.05.001.07.02</t>
  </si>
  <si>
    <t>Otros Ingresos</t>
  </si>
  <si>
    <t xml:space="preserve">TOTAL PRESUPUESTO DE INGRESOS </t>
  </si>
  <si>
    <t>INSTITUTO FINANCIERO PARA EL DESARROLLO DE SANTANDER     IDESAN</t>
  </si>
  <si>
    <t>COMPRA DE TINTA Y TONER</t>
  </si>
  <si>
    <t xml:space="preserve"> INSTITUTO FINANCIERO PARA EL DESARROLLO DE SANTANDER ¨IDESAN ¨</t>
  </si>
  <si>
    <t>PRESUPUESTOS  DE INGRESOS</t>
  </si>
  <si>
    <t>Elaboro: Claudia E. Hernandez Buitrago - Tecnico</t>
  </si>
  <si>
    <t>Benjamín Eduardo Herrera Jaimes</t>
  </si>
  <si>
    <t>Coordinador Financiero y Administrativo</t>
  </si>
  <si>
    <t xml:space="preserve">                                         INSTITUTO FINANCIERO PARA EL DESARROLLO DE SANTANDER ¨IDESAN ¨</t>
  </si>
  <si>
    <t>Reviso: BENJAMIN EDUARDO HERRERA JAIMES</t>
  </si>
  <si>
    <t xml:space="preserve">                      Coordinador Financiero y Administrativo </t>
  </si>
  <si>
    <t xml:space="preserve">              Coordinador Financiero y Administrativo </t>
  </si>
  <si>
    <t>CUENTA</t>
  </si>
  <si>
    <t>CONSTITUIDAS</t>
  </si>
  <si>
    <t>PAGADAS</t>
  </si>
  <si>
    <t>PENDIENTE DE CANCELAR</t>
  </si>
  <si>
    <t>0850</t>
  </si>
  <si>
    <t>CUENTAS POR PAGAR CONSTITUIDAS</t>
  </si>
  <si>
    <t>08500101</t>
  </si>
  <si>
    <t>08500201</t>
  </si>
  <si>
    <t>BENJAMIN EDUARDO HERRERA JAIMES</t>
  </si>
  <si>
    <t xml:space="preserve">Coordinadora Financiera y Administrativa </t>
  </si>
  <si>
    <t>NESTOR AUGUSTO SALCEDO SILVA</t>
  </si>
  <si>
    <t xml:space="preserve">Gerente </t>
  </si>
  <si>
    <t>EJECUCION DE CUENTAS POR PAGAR Y RESERVAS PRESUPUESTALES</t>
  </si>
  <si>
    <t>Recuperacion Intereses Mora</t>
  </si>
  <si>
    <t>Intereses Correccion Monetaria</t>
  </si>
  <si>
    <r>
      <t xml:space="preserve">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30.024.11-232</t>
    </r>
  </si>
  <si>
    <r>
      <t xml:space="preserve">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30.024.11-232</t>
    </r>
  </si>
  <si>
    <t>30.024.11-234</t>
  </si>
  <si>
    <t>30.024.11-233</t>
  </si>
  <si>
    <t>PRESUPUESTO APROBADO GASTOS - VIGENCIA 2025</t>
  </si>
  <si>
    <t>PRESUPUESTO APROBADO INGRESOS - VIGENCIA 2025</t>
  </si>
  <si>
    <t xml:space="preserve">                                                  EJECUCION  PRESUPUESTO DE INGRESOS POR MESES DE 2025</t>
  </si>
  <si>
    <t xml:space="preserve"> EJECUCION PRESUPUESTAL VIGENCIA 2025 MES A MES </t>
  </si>
  <si>
    <t>ENERO 31-2025</t>
  </si>
  <si>
    <t>Cuadro a Enero 31 de 2025</t>
  </si>
  <si>
    <t>COMPORTAMIENTO PRESUPUESTAL DE INGRESOS Y EGRESOS DE ENERO DE 2025</t>
  </si>
  <si>
    <t>EJECUCION DE CUENTAS  POR PAGAR VIGENCIA 2025 (Resolucion numero 0002 de enero 09 de 2025)</t>
  </si>
  <si>
    <t>COMPORTAMIENTO PRESUPUESTAL DE INGRESOS Y EGRESOS DE FEBRERO DE 2025</t>
  </si>
  <si>
    <t>Cuadro a febrero 28 de 2025</t>
  </si>
  <si>
    <t>Diferencia de una NPA remuneracion por servicios.</t>
  </si>
  <si>
    <t>NOTA: El Dr. Eduardo solicita apartir de esta vigencia, que en el rubro 0360 se tome el valor de la columa del debito ,</t>
  </si>
  <si>
    <t>FEBRERO</t>
  </si>
  <si>
    <t>FEBRERO 28-2025</t>
  </si>
  <si>
    <t>Cuadro a marzo 31 de 2025</t>
  </si>
  <si>
    <t>COMPORTAMIENTO PRESUPUESTAL DE INGRESOS Y EGRESOS A MARZO DE 2025</t>
  </si>
  <si>
    <t>INSTITUTO FINANCIERO PARA EL DESARROLLO DE SANTANDER  IDESAN</t>
  </si>
  <si>
    <t>MARZO</t>
  </si>
  <si>
    <t>es decir, se suman las RP de cada mes y asi se van acumulando.</t>
  </si>
  <si>
    <t>MARZO 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</si>
</sst>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color indexed="8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37" fontId="1" fillId="0" borderId="0"/>
    <xf numFmtId="164" fontId="1" fillId="0" borderId="0" applyFont="0" applyFill="0" applyBorder="0" applyAlignment="0" applyProtection="0"/>
    <xf numFmtId="37" fontId="1" fillId="0" borderId="0"/>
  </cellStyleXfs>
  <cellXfs count="475">
    <xf numFmtId="0" fontId="0" fillId="0" borderId="0" xfId="0"/>
    <xf numFmtId="164" fontId="2" fillId="0" borderId="1" xfId="1" applyFont="1" applyBorder="1"/>
    <xf numFmtId="164" fontId="2" fillId="0" borderId="2" xfId="1" applyFont="1" applyBorder="1" applyAlignment="1">
      <alignment horizontal="right"/>
    </xf>
    <xf numFmtId="164" fontId="2" fillId="0" borderId="3" xfId="1" applyFont="1" applyBorder="1"/>
    <xf numFmtId="0" fontId="3" fillId="0" borderId="5" xfId="0" applyFont="1" applyBorder="1"/>
    <xf numFmtId="164" fontId="3" fillId="0" borderId="1" xfId="1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2" xfId="1" applyFont="1" applyBorder="1"/>
    <xf numFmtId="0" fontId="2" fillId="0" borderId="7" xfId="0" applyFont="1" applyBorder="1"/>
    <xf numFmtId="164" fontId="2" fillId="0" borderId="4" xfId="1" applyFont="1" applyBorder="1" applyAlignment="1">
      <alignment horizontal="right"/>
    </xf>
    <xf numFmtId="164" fontId="2" fillId="0" borderId="4" xfId="1" applyFont="1" applyBorder="1"/>
    <xf numFmtId="164" fontId="2" fillId="0" borderId="8" xfId="1" applyFont="1" applyBorder="1"/>
    <xf numFmtId="0" fontId="0" fillId="0" borderId="6" xfId="0" applyBorder="1"/>
    <xf numFmtId="0" fontId="0" fillId="0" borderId="2" xfId="0" applyBorder="1"/>
    <xf numFmtId="0" fontId="2" fillId="0" borderId="5" xfId="0" applyFont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0" fillId="0" borderId="3" xfId="0" applyBorder="1"/>
    <xf numFmtId="164" fontId="3" fillId="0" borderId="14" xfId="1" applyFont="1" applyBorder="1" applyAlignment="1">
      <alignment horizontal="center"/>
    </xf>
    <xf numFmtId="164" fontId="2" fillId="0" borderId="20" xfId="1" applyFont="1" applyBorder="1" applyAlignment="1">
      <alignment horizontal="right"/>
    </xf>
    <xf numFmtId="4" fontId="2" fillId="0" borderId="22" xfId="1" applyNumberFormat="1" applyFont="1" applyBorder="1" applyAlignment="1">
      <alignment horizontal="right"/>
    </xf>
    <xf numFmtId="4" fontId="2" fillId="0" borderId="20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0" fontId="0" fillId="0" borderId="5" xfId="0" applyBorder="1"/>
    <xf numFmtId="0" fontId="4" fillId="0" borderId="0" xfId="0" applyFont="1"/>
    <xf numFmtId="0" fontId="0" fillId="0" borderId="1" xfId="0" applyBorder="1"/>
    <xf numFmtId="39" fontId="2" fillId="0" borderId="21" xfId="1" applyNumberFormat="1" applyFont="1" applyBorder="1" applyAlignment="1">
      <alignment horizontal="right"/>
    </xf>
    <xf numFmtId="0" fontId="8" fillId="0" borderId="0" xfId="0" applyFont="1"/>
    <xf numFmtId="4" fontId="2" fillId="0" borderId="29" xfId="1" applyNumberFormat="1" applyFont="1" applyBorder="1" applyAlignment="1">
      <alignment horizontal="right"/>
    </xf>
    <xf numFmtId="4" fontId="2" fillId="0" borderId="31" xfId="1" applyNumberFormat="1" applyFont="1" applyBorder="1" applyAlignment="1">
      <alignment horizontal="right"/>
    </xf>
    <xf numFmtId="39" fontId="2" fillId="0" borderId="22" xfId="1" applyNumberFormat="1" applyFont="1" applyBorder="1" applyAlignment="1">
      <alignment horizontal="right"/>
    </xf>
    <xf numFmtId="4" fontId="2" fillId="0" borderId="18" xfId="1" applyNumberFormat="1" applyFont="1" applyBorder="1" applyAlignment="1">
      <alignment horizontal="right"/>
    </xf>
    <xf numFmtId="164" fontId="3" fillId="0" borderId="10" xfId="1" applyFont="1" applyBorder="1" applyAlignment="1">
      <alignment horizontal="right"/>
    </xf>
    <xf numFmtId="164" fontId="3" fillId="0" borderId="10" xfId="1" applyFont="1" applyBorder="1" applyAlignment="1">
      <alignment horizontal="center"/>
    </xf>
    <xf numFmtId="164" fontId="3" fillId="0" borderId="10" xfId="1" applyFont="1" applyBorder="1"/>
    <xf numFmtId="164" fontId="3" fillId="0" borderId="33" xfId="1" applyFont="1" applyBorder="1" applyAlignment="1">
      <alignment horizontal="center"/>
    </xf>
    <xf numFmtId="164" fontId="3" fillId="0" borderId="14" xfId="1" applyFont="1" applyBorder="1"/>
    <xf numFmtId="0" fontId="3" fillId="0" borderId="34" xfId="0" applyFont="1" applyBorder="1"/>
    <xf numFmtId="10" fontId="2" fillId="0" borderId="20" xfId="1" applyNumberFormat="1" applyFont="1" applyBorder="1" applyAlignment="1">
      <alignment horizontal="right"/>
    </xf>
    <xf numFmtId="10" fontId="2" fillId="0" borderId="20" xfId="1" applyNumberFormat="1" applyFont="1" applyBorder="1"/>
    <xf numFmtId="10" fontId="2" fillId="0" borderId="21" xfId="1" applyNumberFormat="1" applyFont="1" applyBorder="1"/>
    <xf numFmtId="4" fontId="2" fillId="0" borderId="40" xfId="1" applyNumberFormat="1" applyFont="1" applyBorder="1" applyAlignment="1">
      <alignment horizontal="right"/>
    </xf>
    <xf numFmtId="10" fontId="2" fillId="0" borderId="11" xfId="1" applyNumberFormat="1" applyFont="1" applyBorder="1"/>
    <xf numFmtId="10" fontId="2" fillId="0" borderId="12" xfId="1" applyNumberFormat="1" applyFont="1" applyBorder="1"/>
    <xf numFmtId="39" fontId="2" fillId="0" borderId="20" xfId="1" applyNumberFormat="1" applyFont="1" applyBorder="1" applyAlignment="1">
      <alignment horizontal="right"/>
    </xf>
    <xf numFmtId="10" fontId="2" fillId="0" borderId="26" xfId="1" applyNumberFormat="1" applyFont="1" applyBorder="1"/>
    <xf numFmtId="0" fontId="13" fillId="0" borderId="0" xfId="0" applyFont="1"/>
    <xf numFmtId="4" fontId="14" fillId="0" borderId="1" xfId="0" applyNumberFormat="1" applyFont="1" applyBorder="1"/>
    <xf numFmtId="0" fontId="15" fillId="0" borderId="5" xfId="0" applyFont="1" applyBorder="1"/>
    <xf numFmtId="4" fontId="15" fillId="0" borderId="1" xfId="0" applyNumberFormat="1" applyFont="1" applyBorder="1"/>
    <xf numFmtId="0" fontId="15" fillId="0" borderId="1" xfId="0" applyFont="1" applyBorder="1"/>
    <xf numFmtId="0" fontId="15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8" fillId="0" borderId="0" xfId="0" applyNumberFormat="1" applyFont="1"/>
    <xf numFmtId="164" fontId="2" fillId="0" borderId="0" xfId="1" applyFont="1" applyBorder="1"/>
    <xf numFmtId="4" fontId="2" fillId="0" borderId="15" xfId="1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4" fillId="0" borderId="4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8" fillId="0" borderId="1" xfId="0" applyNumberFormat="1" applyFont="1" applyBorder="1"/>
    <xf numFmtId="4" fontId="4" fillId="0" borderId="0" xfId="0" applyNumberFormat="1" applyFont="1"/>
    <xf numFmtId="0" fontId="2" fillId="0" borderId="2" xfId="0" applyFont="1" applyBorder="1"/>
    <xf numFmtId="0" fontId="9" fillId="0" borderId="3" xfId="0" applyFont="1" applyBorder="1"/>
    <xf numFmtId="0" fontId="9" fillId="0" borderId="0" xfId="0" applyFont="1"/>
    <xf numFmtId="0" fontId="8" fillId="0" borderId="2" xfId="0" applyFont="1" applyBorder="1"/>
    <xf numFmtId="0" fontId="8" fillId="0" borderId="0" xfId="5"/>
    <xf numFmtId="0" fontId="8" fillId="0" borderId="1" xfId="5" applyBorder="1"/>
    <xf numFmtId="0" fontId="3" fillId="0" borderId="14" xfId="5" applyFont="1" applyBorder="1" applyAlignment="1">
      <alignment horizontal="center"/>
    </xf>
    <xf numFmtId="164" fontId="3" fillId="0" borderId="14" xfId="3" applyFont="1" applyBorder="1" applyAlignment="1">
      <alignment horizontal="center"/>
    </xf>
    <xf numFmtId="164" fontId="7" fillId="0" borderId="14" xfId="3" applyFont="1" applyBorder="1" applyAlignment="1">
      <alignment horizontal="center"/>
    </xf>
    <xf numFmtId="164" fontId="3" fillId="0" borderId="0" xfId="3" applyFont="1" applyAlignment="1">
      <alignment horizontal="center"/>
    </xf>
    <xf numFmtId="0" fontId="2" fillId="0" borderId="5" xfId="5" applyFont="1" applyBorder="1" applyAlignment="1">
      <alignment horizontal="center"/>
    </xf>
    <xf numFmtId="164" fontId="2" fillId="0" borderId="16" xfId="3" applyFont="1" applyBorder="1" applyAlignment="1">
      <alignment horizontal="right"/>
    </xf>
    <xf numFmtId="164" fontId="2" fillId="0" borderId="4" xfId="3" applyFont="1" applyBorder="1" applyAlignment="1">
      <alignment horizontal="right"/>
    </xf>
    <xf numFmtId="164" fontId="3" fillId="0" borderId="5" xfId="3" applyFont="1" applyBorder="1"/>
    <xf numFmtId="164" fontId="3" fillId="0" borderId="24" xfId="3" applyFont="1" applyBorder="1" applyAlignment="1">
      <alignment horizontal="right"/>
    </xf>
    <xf numFmtId="0" fontId="8" fillId="0" borderId="24" xfId="5" applyBorder="1"/>
    <xf numFmtId="0" fontId="3" fillId="0" borderId="5" xfId="5" applyFont="1" applyBorder="1" applyAlignment="1">
      <alignment horizontal="center"/>
    </xf>
    <xf numFmtId="164" fontId="8" fillId="0" borderId="17" xfId="3" applyFont="1" applyBorder="1" applyAlignment="1">
      <alignment horizontal="right"/>
    </xf>
    <xf numFmtId="164" fontId="8" fillId="0" borderId="2" xfId="3" applyFont="1" applyBorder="1" applyAlignment="1">
      <alignment horizontal="right"/>
    </xf>
    <xf numFmtId="164" fontId="8" fillId="0" borderId="0" xfId="3" applyFont="1" applyBorder="1" applyAlignment="1">
      <alignment horizontal="right"/>
    </xf>
    <xf numFmtId="164" fontId="8" fillId="0" borderId="0" xfId="3" applyFont="1" applyAlignment="1">
      <alignment horizontal="right"/>
    </xf>
    <xf numFmtId="0" fontId="5" fillId="0" borderId="18" xfId="5" applyFont="1" applyBorder="1" applyAlignment="1">
      <alignment horizontal="left"/>
    </xf>
    <xf numFmtId="164" fontId="2" fillId="0" borderId="20" xfId="3" applyFont="1" applyBorder="1" applyAlignment="1">
      <alignment horizontal="right"/>
    </xf>
    <xf numFmtId="164" fontId="2" fillId="0" borderId="18" xfId="3" applyFont="1" applyBorder="1" applyAlignment="1">
      <alignment horizontal="right"/>
    </xf>
    <xf numFmtId="4" fontId="2" fillId="0" borderId="20" xfId="3" applyNumberFormat="1" applyFont="1" applyBorder="1" applyAlignment="1">
      <alignment horizontal="right"/>
    </xf>
    <xf numFmtId="4" fontId="2" fillId="0" borderId="0" xfId="3" applyNumberFormat="1" applyFont="1" applyAlignment="1">
      <alignment horizontal="right"/>
    </xf>
    <xf numFmtId="0" fontId="5" fillId="0" borderId="19" xfId="5" applyFont="1" applyBorder="1" applyAlignment="1">
      <alignment horizontal="left"/>
    </xf>
    <xf numFmtId="39" fontId="2" fillId="0" borderId="21" xfId="3" applyNumberFormat="1" applyFont="1" applyBorder="1" applyAlignment="1">
      <alignment horizontal="right"/>
    </xf>
    <xf numFmtId="4" fontId="8" fillId="0" borderId="0" xfId="5" applyNumberFormat="1"/>
    <xf numFmtId="0" fontId="5" fillId="0" borderId="23" xfId="5" applyFont="1" applyBorder="1" applyAlignment="1">
      <alignment horizontal="left"/>
    </xf>
    <xf numFmtId="4" fontId="3" fillId="0" borderId="14" xfId="3" applyNumberFormat="1" applyFont="1" applyBorder="1" applyAlignment="1">
      <alignment horizontal="right"/>
    </xf>
    <xf numFmtId="4" fontId="4" fillId="0" borderId="0" xfId="3" applyNumberFormat="1" applyFont="1" applyAlignment="1">
      <alignment horizontal="right"/>
    </xf>
    <xf numFmtId="0" fontId="2" fillId="0" borderId="5" xfId="5" applyFont="1" applyBorder="1"/>
    <xf numFmtId="164" fontId="2" fillId="0" borderId="7" xfId="3" applyFont="1" applyBorder="1" applyAlignment="1">
      <alignment horizontal="right"/>
    </xf>
    <xf numFmtId="164" fontId="2" fillId="0" borderId="0" xfId="3" applyFont="1" applyBorder="1" applyAlignment="1">
      <alignment horizontal="right"/>
    </xf>
    <xf numFmtId="0" fontId="3" fillId="0" borderId="5" xfId="5" applyFont="1" applyBorder="1"/>
    <xf numFmtId="164" fontId="3" fillId="0" borderId="5" xfId="3" applyFont="1" applyBorder="1" applyAlignment="1">
      <alignment horizontal="right"/>
    </xf>
    <xf numFmtId="164" fontId="3" fillId="0" borderId="14" xfId="3" applyFont="1" applyFill="1" applyBorder="1" applyAlignment="1">
      <alignment horizontal="center"/>
    </xf>
    <xf numFmtId="0" fontId="3" fillId="0" borderId="5" xfId="5" applyFont="1" applyBorder="1" applyAlignment="1">
      <alignment horizontal="left"/>
    </xf>
    <xf numFmtId="164" fontId="8" fillId="0" borderId="24" xfId="3" applyFont="1" applyBorder="1" applyAlignment="1">
      <alignment horizontal="right"/>
    </xf>
    <xf numFmtId="164" fontId="2" fillId="0" borderId="0" xfId="3" applyFont="1" applyAlignment="1">
      <alignment horizontal="right"/>
    </xf>
    <xf numFmtId="165" fontId="2" fillId="0" borderId="0" xfId="3" applyNumberFormat="1" applyFont="1" applyAlignment="1">
      <alignment horizontal="right"/>
    </xf>
    <xf numFmtId="0" fontId="6" fillId="0" borderId="5" xfId="5" applyFont="1" applyBorder="1" applyAlignment="1">
      <alignment horizontal="left"/>
    </xf>
    <xf numFmtId="0" fontId="5" fillId="0" borderId="20" xfId="5" applyFont="1" applyBorder="1" applyAlignment="1">
      <alignment horizontal="left"/>
    </xf>
    <xf numFmtId="0" fontId="5" fillId="0" borderId="21" xfId="5" applyFont="1" applyBorder="1" applyAlignment="1">
      <alignment horizontal="left"/>
    </xf>
    <xf numFmtId="0" fontId="6" fillId="0" borderId="6" xfId="5" applyFont="1" applyBorder="1" applyAlignment="1">
      <alignment horizontal="left"/>
    </xf>
    <xf numFmtId="164" fontId="3" fillId="0" borderId="14" xfId="3" applyFont="1" applyBorder="1" applyAlignment="1">
      <alignment horizontal="right"/>
    </xf>
    <xf numFmtId="164" fontId="3" fillId="0" borderId="41" xfId="3" applyFont="1" applyBorder="1" applyAlignment="1">
      <alignment horizontal="right"/>
    </xf>
    <xf numFmtId="164" fontId="3" fillId="0" borderId="1" xfId="3" applyFont="1" applyBorder="1" applyAlignment="1">
      <alignment horizontal="right"/>
    </xf>
    <xf numFmtId="4" fontId="3" fillId="0" borderId="0" xfId="3" applyNumberFormat="1" applyFont="1" applyAlignment="1">
      <alignment horizontal="right"/>
    </xf>
    <xf numFmtId="0" fontId="5" fillId="0" borderId="15" xfId="5" applyFont="1" applyBorder="1" applyAlignment="1">
      <alignment horizontal="left"/>
    </xf>
    <xf numFmtId="39" fontId="4" fillId="0" borderId="0" xfId="3" applyNumberFormat="1" applyFont="1" applyAlignment="1">
      <alignment horizontal="right"/>
    </xf>
    <xf numFmtId="164" fontId="2" fillId="0" borderId="1" xfId="3" applyFont="1" applyBorder="1" applyAlignment="1">
      <alignment horizontal="right"/>
    </xf>
    <xf numFmtId="164" fontId="2" fillId="0" borderId="11" xfId="3" applyFont="1" applyBorder="1" applyAlignment="1">
      <alignment horizontal="right"/>
    </xf>
    <xf numFmtId="0" fontId="5" fillId="0" borderId="5" xfId="5" applyFont="1" applyBorder="1" applyAlignment="1">
      <alignment horizontal="left"/>
    </xf>
    <xf numFmtId="164" fontId="2" fillId="0" borderId="35" xfId="3" applyFont="1" applyBorder="1" applyAlignment="1">
      <alignment horizontal="right"/>
    </xf>
    <xf numFmtId="0" fontId="6" fillId="0" borderId="25" xfId="5" applyFont="1" applyBorder="1" applyAlignment="1">
      <alignment horizontal="left"/>
    </xf>
    <xf numFmtId="164" fontId="3" fillId="0" borderId="48" xfId="3" applyFont="1" applyBorder="1" applyAlignment="1">
      <alignment horizontal="right"/>
    </xf>
    <xf numFmtId="164" fontId="3" fillId="0" borderId="17" xfId="3" applyFont="1" applyBorder="1" applyAlignment="1">
      <alignment horizontal="right"/>
    </xf>
    <xf numFmtId="164" fontId="3" fillId="0" borderId="44" xfId="3" applyFont="1" applyBorder="1" applyAlignment="1">
      <alignment horizontal="right"/>
    </xf>
    <xf numFmtId="0" fontId="4" fillId="0" borderId="6" xfId="5" applyFont="1" applyBorder="1" applyAlignment="1">
      <alignment horizontal="left"/>
    </xf>
    <xf numFmtId="4" fontId="3" fillId="0" borderId="17" xfId="3" applyNumberFormat="1" applyFont="1" applyBorder="1" applyAlignment="1">
      <alignment horizontal="right"/>
    </xf>
    <xf numFmtId="164" fontId="16" fillId="0" borderId="0" xfId="3" applyFont="1" applyBorder="1" applyAlignment="1">
      <alignment horizontal="right"/>
    </xf>
    <xf numFmtId="164" fontId="16" fillId="0" borderId="0" xfId="3" applyFont="1" applyBorder="1" applyAlignment="1">
      <alignment horizontal="left"/>
    </xf>
    <xf numFmtId="0" fontId="2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164" fontId="2" fillId="0" borderId="17" xfId="3" applyFont="1" applyBorder="1" applyAlignment="1">
      <alignment horizontal="right"/>
    </xf>
    <xf numFmtId="4" fontId="3" fillId="0" borderId="6" xfId="3" applyNumberFormat="1" applyFont="1" applyBorder="1" applyAlignment="1">
      <alignment horizontal="right"/>
    </xf>
    <xf numFmtId="164" fontId="3" fillId="0" borderId="6" xfId="3" applyFont="1" applyBorder="1" applyAlignment="1">
      <alignment horizontal="right"/>
    </xf>
    <xf numFmtId="164" fontId="2" fillId="0" borderId="24" xfId="3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0" fontId="4" fillId="0" borderId="25" xfId="0" applyFont="1" applyBorder="1"/>
    <xf numFmtId="0" fontId="1" fillId="0" borderId="19" xfId="0" applyFont="1" applyBorder="1"/>
    <xf numFmtId="0" fontId="1" fillId="0" borderId="23" xfId="0" applyFont="1" applyBorder="1"/>
    <xf numFmtId="0" fontId="5" fillId="0" borderId="0" xfId="0" applyFont="1" applyAlignment="1">
      <alignment horizontal="left"/>
    </xf>
    <xf numFmtId="0" fontId="8" fillId="0" borderId="20" xfId="0" applyFont="1" applyBorder="1"/>
    <xf numFmtId="0" fontId="8" fillId="0" borderId="21" xfId="0" applyFont="1" applyBorder="1"/>
    <xf numFmtId="4" fontId="8" fillId="0" borderId="21" xfId="0" applyNumberFormat="1" applyFont="1" applyBorder="1"/>
    <xf numFmtId="4" fontId="8" fillId="0" borderId="20" xfId="0" applyNumberFormat="1" applyFont="1" applyBorder="1"/>
    <xf numFmtId="4" fontId="8" fillId="0" borderId="26" xfId="0" applyNumberFormat="1" applyFont="1" applyBorder="1"/>
    <xf numFmtId="39" fontId="2" fillId="0" borderId="0" xfId="3" applyNumberFormat="1" applyFont="1" applyBorder="1" applyAlignment="1">
      <alignment horizontal="right"/>
    </xf>
    <xf numFmtId="39" fontId="2" fillId="0" borderId="22" xfId="3" applyNumberFormat="1" applyFont="1" applyBorder="1" applyAlignment="1">
      <alignment horizontal="right"/>
    </xf>
    <xf numFmtId="164" fontId="3" fillId="0" borderId="0" xfId="3" applyFont="1" applyBorder="1" applyAlignment="1">
      <alignment horizontal="right"/>
    </xf>
    <xf numFmtId="164" fontId="2" fillId="0" borderId="22" xfId="3" applyFont="1" applyBorder="1" applyAlignment="1">
      <alignment horizontal="right"/>
    </xf>
    <xf numFmtId="0" fontId="5" fillId="0" borderId="27" xfId="5" applyFont="1" applyBorder="1" applyAlignment="1">
      <alignment horizontal="left"/>
    </xf>
    <xf numFmtId="4" fontId="3" fillId="0" borderId="0" xfId="3" applyNumberFormat="1" applyFont="1" applyBorder="1" applyAlignment="1">
      <alignment horizontal="right"/>
    </xf>
    <xf numFmtId="4" fontId="3" fillId="0" borderId="44" xfId="3" applyNumberFormat="1" applyFont="1" applyBorder="1" applyAlignment="1">
      <alignment horizontal="right"/>
    </xf>
    <xf numFmtId="0" fontId="6" fillId="0" borderId="17" xfId="5" applyFont="1" applyBorder="1" applyAlignment="1">
      <alignment horizontal="left"/>
    </xf>
    <xf numFmtId="164" fontId="2" fillId="0" borderId="0" xfId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10" fontId="2" fillId="0" borderId="0" xfId="1" applyNumberFormat="1" applyFont="1" applyBorder="1"/>
    <xf numFmtId="10" fontId="2" fillId="0" borderId="0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164" fontId="3" fillId="0" borderId="25" xfId="3" applyFont="1" applyBorder="1" applyAlignment="1">
      <alignment horizontal="right"/>
    </xf>
    <xf numFmtId="39" fontId="3" fillId="0" borderId="2" xfId="3" applyNumberFormat="1" applyFont="1" applyBorder="1" applyAlignment="1">
      <alignment horizontal="right"/>
    </xf>
    <xf numFmtId="164" fontId="3" fillId="0" borderId="0" xfId="1" applyFont="1" applyBorder="1"/>
    <xf numFmtId="0" fontId="17" fillId="0" borderId="6" xfId="5" applyFont="1" applyBorder="1" applyAlignment="1">
      <alignment horizontal="left"/>
    </xf>
    <xf numFmtId="10" fontId="2" fillId="0" borderId="21" xfId="1" applyNumberFormat="1" applyFont="1" applyBorder="1" applyAlignment="1">
      <alignment horizontal="right"/>
    </xf>
    <xf numFmtId="10" fontId="2" fillId="0" borderId="22" xfId="1" applyNumberFormat="1" applyFont="1" applyBorder="1" applyAlignment="1">
      <alignment horizontal="right"/>
    </xf>
    <xf numFmtId="164" fontId="2" fillId="0" borderId="15" xfId="3" applyFont="1" applyBorder="1" applyAlignment="1">
      <alignment horizontal="right"/>
    </xf>
    <xf numFmtId="164" fontId="2" fillId="0" borderId="21" xfId="3" applyFont="1" applyBorder="1" applyAlignment="1">
      <alignment horizontal="right"/>
    </xf>
    <xf numFmtId="39" fontId="2" fillId="0" borderId="20" xfId="3" applyNumberFormat="1" applyFont="1" applyBorder="1" applyAlignment="1">
      <alignment horizontal="right"/>
    </xf>
    <xf numFmtId="39" fontId="3" fillId="0" borderId="17" xfId="3" applyNumberFormat="1" applyFont="1" applyBorder="1" applyAlignment="1">
      <alignment horizontal="right"/>
    </xf>
    <xf numFmtId="39" fontId="3" fillId="0" borderId="14" xfId="3" applyNumberFormat="1" applyFont="1" applyBorder="1" applyAlignment="1">
      <alignment horizontal="right"/>
    </xf>
    <xf numFmtId="39" fontId="2" fillId="0" borderId="12" xfId="1" applyNumberFormat="1" applyFont="1" applyBorder="1" applyAlignment="1">
      <alignment horizontal="right"/>
    </xf>
    <xf numFmtId="4" fontId="2" fillId="0" borderId="12" xfId="0" applyNumberFormat="1" applyFont="1" applyBorder="1"/>
    <xf numFmtId="39" fontId="2" fillId="0" borderId="11" xfId="1" applyNumberFormat="1" applyFont="1" applyBorder="1" applyAlignment="1">
      <alignment horizontal="right"/>
    </xf>
    <xf numFmtId="39" fontId="2" fillId="0" borderId="40" xfId="1" applyNumberFormat="1" applyFont="1" applyBorder="1" applyAlignment="1">
      <alignment horizontal="right"/>
    </xf>
    <xf numFmtId="4" fontId="2" fillId="0" borderId="21" xfId="0" applyNumberFormat="1" applyFont="1" applyBorder="1"/>
    <xf numFmtId="164" fontId="3" fillId="0" borderId="45" xfId="3" applyFont="1" applyBorder="1" applyAlignment="1">
      <alignment horizontal="right"/>
    </xf>
    <xf numFmtId="10" fontId="2" fillId="0" borderId="26" xfId="1" applyNumberFormat="1" applyFont="1" applyBorder="1" applyAlignment="1">
      <alignment horizontal="right"/>
    </xf>
    <xf numFmtId="10" fontId="3" fillId="0" borderId="14" xfId="1" applyNumberFormat="1" applyFont="1" applyBorder="1" applyAlignment="1">
      <alignment horizontal="right"/>
    </xf>
    <xf numFmtId="10" fontId="3" fillId="0" borderId="14" xfId="1" applyNumberFormat="1" applyFont="1" applyBorder="1"/>
    <xf numFmtId="10" fontId="3" fillId="0" borderId="21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39" fontId="2" fillId="0" borderId="29" xfId="3" applyNumberFormat="1" applyFont="1" applyBorder="1" applyAlignment="1">
      <alignment horizontal="right"/>
    </xf>
    <xf numFmtId="4" fontId="3" fillId="0" borderId="14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/>
    <xf numFmtId="164" fontId="18" fillId="0" borderId="2" xfId="3" applyFont="1" applyBorder="1" applyAlignment="1">
      <alignment horizontal="right"/>
    </xf>
    <xf numFmtId="164" fontId="2" fillId="0" borderId="5" xfId="3" applyFont="1" applyBorder="1" applyAlignment="1">
      <alignment horizontal="right"/>
    </xf>
    <xf numFmtId="39" fontId="2" fillId="0" borderId="5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164" fontId="3" fillId="0" borderId="24" xfId="3" applyFont="1" applyBorder="1" applyAlignment="1">
      <alignment horizontal="center"/>
    </xf>
    <xf numFmtId="4" fontId="4" fillId="0" borderId="14" xfId="0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7" xfId="0" applyFont="1" applyBorder="1"/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4" fontId="8" fillId="0" borderId="28" xfId="0" applyNumberFormat="1" applyFont="1" applyBorder="1"/>
    <xf numFmtId="4" fontId="4" fillId="0" borderId="21" xfId="0" applyNumberFormat="1" applyFont="1" applyBorder="1"/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" fontId="8" fillId="0" borderId="30" xfId="0" applyNumberFormat="1" applyFont="1" applyBorder="1"/>
    <xf numFmtId="4" fontId="8" fillId="0" borderId="29" xfId="0" applyNumberFormat="1" applyFont="1" applyBorder="1"/>
    <xf numFmtId="4" fontId="4" fillId="0" borderId="45" xfId="0" applyNumberFormat="1" applyFont="1" applyBorder="1"/>
    <xf numFmtId="0" fontId="8" fillId="0" borderId="50" xfId="0" applyFont="1" applyBorder="1"/>
    <xf numFmtId="0" fontId="8" fillId="0" borderId="30" xfId="0" applyFont="1" applyBorder="1"/>
    <xf numFmtId="164" fontId="2" fillId="0" borderId="24" xfId="3" applyFont="1" applyBorder="1"/>
    <xf numFmtId="4" fontId="2" fillId="0" borderId="18" xfId="3" applyNumberFormat="1" applyFont="1" applyBorder="1" applyAlignment="1">
      <alignment horizontal="right"/>
    </xf>
    <xf numFmtId="4" fontId="2" fillId="0" borderId="19" xfId="3" applyNumberFormat="1" applyFont="1" applyBorder="1" applyAlignment="1">
      <alignment horizontal="right"/>
    </xf>
    <xf numFmtId="39" fontId="2" fillId="0" borderId="40" xfId="3" applyNumberFormat="1" applyFont="1" applyBorder="1" applyAlignment="1">
      <alignment horizontal="right"/>
    </xf>
    <xf numFmtId="39" fontId="3" fillId="0" borderId="3" xfId="3" applyNumberFormat="1" applyFont="1" applyBorder="1" applyAlignment="1">
      <alignment horizontal="right"/>
    </xf>
    <xf numFmtId="37" fontId="21" fillId="0" borderId="14" xfId="9" applyFont="1" applyBorder="1"/>
    <xf numFmtId="49" fontId="21" fillId="0" borderId="44" xfId="9" applyNumberFormat="1" applyFont="1" applyBorder="1"/>
    <xf numFmtId="165" fontId="21" fillId="0" borderId="44" xfId="10" applyNumberFormat="1" applyFont="1" applyBorder="1" applyAlignment="1">
      <alignment horizontal="center"/>
    </xf>
    <xf numFmtId="0" fontId="21" fillId="3" borderId="46" xfId="9" applyNumberFormat="1" applyFont="1" applyFill="1" applyBorder="1" applyAlignment="1">
      <alignment horizontal="center"/>
    </xf>
    <xf numFmtId="49" fontId="21" fillId="3" borderId="52" xfId="9" applyNumberFormat="1" applyFont="1" applyFill="1" applyBorder="1" applyAlignment="1">
      <alignment horizontal="center"/>
    </xf>
    <xf numFmtId="0" fontId="21" fillId="3" borderId="13" xfId="9" applyNumberFormat="1" applyFont="1" applyFill="1" applyBorder="1" applyAlignment="1">
      <alignment horizontal="center"/>
    </xf>
    <xf numFmtId="1" fontId="21" fillId="3" borderId="53" xfId="9" applyNumberFormat="1" applyFont="1" applyFill="1" applyBorder="1" applyAlignment="1">
      <alignment horizontal="left"/>
    </xf>
    <xf numFmtId="49" fontId="21" fillId="3" borderId="42" xfId="9" applyNumberFormat="1" applyFont="1" applyFill="1" applyBorder="1" applyAlignment="1">
      <alignment horizontal="left"/>
    </xf>
    <xf numFmtId="37" fontId="21" fillId="3" borderId="37" xfId="9" applyFont="1" applyFill="1" applyBorder="1"/>
    <xf numFmtId="4" fontId="21" fillId="3" borderId="54" xfId="10" applyNumberFormat="1" applyFont="1" applyFill="1" applyBorder="1"/>
    <xf numFmtId="1" fontId="21" fillId="3" borderId="55" xfId="9" applyNumberFormat="1" applyFont="1" applyFill="1" applyBorder="1" applyAlignment="1">
      <alignment horizontal="left" vertical="top" wrapText="1"/>
    </xf>
    <xf numFmtId="49" fontId="21" fillId="3" borderId="43" xfId="9" applyNumberFormat="1" applyFont="1" applyFill="1" applyBorder="1" applyAlignment="1">
      <alignment horizontal="left" vertical="top" wrapText="1"/>
    </xf>
    <xf numFmtId="37" fontId="21" fillId="3" borderId="56" xfId="9" applyFont="1" applyFill="1" applyBorder="1"/>
    <xf numFmtId="4" fontId="21" fillId="3" borderId="57" xfId="10" applyNumberFormat="1" applyFont="1" applyFill="1" applyBorder="1"/>
    <xf numFmtId="37" fontId="21" fillId="3" borderId="56" xfId="9" applyFont="1" applyFill="1" applyBorder="1" applyAlignment="1">
      <alignment vertical="top" wrapText="1"/>
    </xf>
    <xf numFmtId="4" fontId="21" fillId="3" borderId="57" xfId="10" applyNumberFormat="1" applyFont="1" applyFill="1" applyBorder="1" applyAlignment="1">
      <alignment vertical="top" wrapText="1"/>
    </xf>
    <xf numFmtId="1" fontId="21" fillId="3" borderId="39" xfId="9" applyNumberFormat="1" applyFont="1" applyFill="1" applyBorder="1" applyAlignment="1">
      <alignment horizontal="left" vertical="top" wrapText="1"/>
    </xf>
    <xf numFmtId="49" fontId="21" fillId="3" borderId="58" xfId="9" applyNumberFormat="1" applyFont="1" applyFill="1" applyBorder="1" applyAlignment="1">
      <alignment horizontal="left" vertical="top" wrapText="1"/>
    </xf>
    <xf numFmtId="37" fontId="21" fillId="3" borderId="36" xfId="9" applyFont="1" applyFill="1" applyBorder="1" applyAlignment="1">
      <alignment vertical="top" wrapText="1"/>
    </xf>
    <xf numFmtId="4" fontId="21" fillId="3" borderId="59" xfId="10" applyNumberFormat="1" applyFont="1" applyFill="1" applyBorder="1" applyAlignment="1">
      <alignment vertical="top" wrapText="1"/>
    </xf>
    <xf numFmtId="1" fontId="22" fillId="0" borderId="53" xfId="9" applyNumberFormat="1" applyFont="1" applyBorder="1" applyAlignment="1">
      <alignment horizontal="left" vertical="top" wrapText="1"/>
    </xf>
    <xf numFmtId="49" fontId="22" fillId="0" borderId="42" xfId="9" applyNumberFormat="1" applyFont="1" applyBorder="1" applyAlignment="1">
      <alignment horizontal="left" vertical="top" wrapText="1"/>
    </xf>
    <xf numFmtId="37" fontId="22" fillId="0" borderId="37" xfId="9" applyFont="1" applyBorder="1" applyAlignment="1">
      <alignment vertical="top" wrapText="1"/>
    </xf>
    <xf numFmtId="4" fontId="22" fillId="0" borderId="54" xfId="10" applyNumberFormat="1" applyFont="1" applyBorder="1" applyAlignment="1">
      <alignment vertical="top" wrapText="1"/>
    </xf>
    <xf numFmtId="1" fontId="22" fillId="0" borderId="55" xfId="9" applyNumberFormat="1" applyFont="1" applyBorder="1" applyAlignment="1">
      <alignment horizontal="left" vertical="top" wrapText="1"/>
    </xf>
    <xf numFmtId="49" fontId="22" fillId="0" borderId="43" xfId="9" applyNumberFormat="1" applyFont="1" applyBorder="1" applyAlignment="1">
      <alignment horizontal="left" vertical="top" wrapText="1"/>
    </xf>
    <xf numFmtId="37" fontId="22" fillId="0" borderId="56" xfId="9" applyFont="1" applyBorder="1" applyAlignment="1">
      <alignment vertical="top" wrapText="1"/>
    </xf>
    <xf numFmtId="4" fontId="22" fillId="0" borderId="57" xfId="10" applyNumberFormat="1" applyFont="1" applyBorder="1" applyAlignment="1">
      <alignment vertical="top" wrapText="1"/>
    </xf>
    <xf numFmtId="1" fontId="21" fillId="4" borderId="55" xfId="9" applyNumberFormat="1" applyFont="1" applyFill="1" applyBorder="1" applyAlignment="1">
      <alignment horizontal="left" vertical="top" wrapText="1"/>
    </xf>
    <xf numFmtId="49" fontId="21" fillId="4" borderId="43" xfId="9" applyNumberFormat="1" applyFont="1" applyFill="1" applyBorder="1" applyAlignment="1">
      <alignment horizontal="left" vertical="top" wrapText="1"/>
    </xf>
    <xf numFmtId="37" fontId="21" fillId="4" borderId="56" xfId="9" applyFont="1" applyFill="1" applyBorder="1" applyAlignment="1">
      <alignment vertical="top" wrapText="1"/>
    </xf>
    <xf numFmtId="4" fontId="21" fillId="4" borderId="57" xfId="10" applyNumberFormat="1" applyFont="1" applyFill="1" applyBorder="1" applyAlignment="1">
      <alignment vertical="top" wrapText="1"/>
    </xf>
    <xf numFmtId="49" fontId="22" fillId="0" borderId="55" xfId="9" applyNumberFormat="1" applyFont="1" applyBorder="1" applyAlignment="1">
      <alignment horizontal="left"/>
    </xf>
    <xf numFmtId="49" fontId="22" fillId="0" borderId="43" xfId="9" applyNumberFormat="1" applyFont="1" applyBorder="1" applyAlignment="1">
      <alignment horizontal="left"/>
    </xf>
    <xf numFmtId="4" fontId="22" fillId="0" borderId="57" xfId="10" applyNumberFormat="1" applyFont="1" applyFill="1" applyBorder="1" applyAlignment="1">
      <alignment vertical="top" wrapText="1"/>
    </xf>
    <xf numFmtId="49" fontId="21" fillId="0" borderId="55" xfId="9" applyNumberFormat="1" applyFont="1" applyBorder="1" applyAlignment="1">
      <alignment horizontal="left"/>
    </xf>
    <xf numFmtId="49" fontId="21" fillId="0" borderId="43" xfId="9" applyNumberFormat="1" applyFont="1" applyBorder="1" applyAlignment="1">
      <alignment horizontal="left"/>
    </xf>
    <xf numFmtId="37" fontId="21" fillId="0" borderId="56" xfId="9" applyFont="1" applyBorder="1" applyAlignment="1">
      <alignment vertical="top" wrapText="1"/>
    </xf>
    <xf numFmtId="4" fontId="21" fillId="0" borderId="57" xfId="10" applyNumberFormat="1" applyFont="1" applyFill="1" applyBorder="1" applyAlignment="1">
      <alignment vertical="top" wrapText="1"/>
    </xf>
    <xf numFmtId="0" fontId="23" fillId="2" borderId="55" xfId="0" applyFont="1" applyFill="1" applyBorder="1"/>
    <xf numFmtId="49" fontId="23" fillId="2" borderId="43" xfId="0" applyNumberFormat="1" applyFont="1" applyFill="1" applyBorder="1"/>
    <xf numFmtId="0" fontId="23" fillId="2" borderId="56" xfId="0" applyFont="1" applyFill="1" applyBorder="1"/>
    <xf numFmtId="4" fontId="21" fillId="2" borderId="57" xfId="8" applyNumberFormat="1" applyFont="1" applyFill="1" applyBorder="1" applyAlignment="1">
      <alignment horizontal="right" vertical="center" wrapText="1"/>
    </xf>
    <xf numFmtId="0" fontId="24" fillId="2" borderId="55" xfId="0" applyFont="1" applyFill="1" applyBorder="1"/>
    <xf numFmtId="49" fontId="24" fillId="2" borderId="43" xfId="0" applyNumberFormat="1" applyFont="1" applyFill="1" applyBorder="1"/>
    <xf numFmtId="0" fontId="22" fillId="2" borderId="56" xfId="0" applyFont="1" applyFill="1" applyBorder="1"/>
    <xf numFmtId="4" fontId="22" fillId="2" borderId="57" xfId="8" applyNumberFormat="1" applyFont="1" applyFill="1" applyBorder="1" applyAlignment="1">
      <alignment horizontal="right" vertical="center" wrapText="1"/>
    </xf>
    <xf numFmtId="0" fontId="23" fillId="2" borderId="55" xfId="0" applyFont="1" applyFill="1" applyBorder="1" applyAlignment="1">
      <alignment vertical="center"/>
    </xf>
    <xf numFmtId="49" fontId="23" fillId="2" borderId="43" xfId="0" applyNumberFormat="1" applyFont="1" applyFill="1" applyBorder="1" applyAlignment="1">
      <alignment vertical="center"/>
    </xf>
    <xf numFmtId="0" fontId="21" fillId="2" borderId="56" xfId="0" applyFont="1" applyFill="1" applyBorder="1" applyAlignment="1">
      <alignment wrapText="1"/>
    </xf>
    <xf numFmtId="0" fontId="24" fillId="2" borderId="55" xfId="0" applyFont="1" applyFill="1" applyBorder="1" applyAlignment="1">
      <alignment vertical="center"/>
    </xf>
    <xf numFmtId="49" fontId="24" fillId="2" borderId="43" xfId="0" applyNumberFormat="1" applyFont="1" applyFill="1" applyBorder="1" applyAlignment="1">
      <alignment vertical="center"/>
    </xf>
    <xf numFmtId="0" fontId="22" fillId="2" borderId="56" xfId="0" applyFont="1" applyFill="1" applyBorder="1" applyAlignment="1">
      <alignment wrapText="1"/>
    </xf>
    <xf numFmtId="4" fontId="21" fillId="0" borderId="57" xfId="0" applyNumberFormat="1" applyFont="1" applyBorder="1" applyAlignment="1">
      <alignment horizontal="right"/>
    </xf>
    <xf numFmtId="0" fontId="21" fillId="0" borderId="56" xfId="0" applyFont="1" applyBorder="1" applyAlignment="1">
      <alignment wrapText="1"/>
    </xf>
    <xf numFmtId="0" fontId="22" fillId="0" borderId="56" xfId="0" applyFont="1" applyBorder="1" applyAlignment="1">
      <alignment wrapText="1"/>
    </xf>
    <xf numFmtId="0" fontId="21" fillId="2" borderId="56" xfId="0" applyFont="1" applyFill="1" applyBorder="1"/>
    <xf numFmtId="4" fontId="21" fillId="0" borderId="57" xfId="8" applyNumberFormat="1" applyFont="1" applyBorder="1" applyAlignment="1">
      <alignment vertical="center"/>
    </xf>
    <xf numFmtId="4" fontId="22" fillId="0" borderId="57" xfId="8" applyNumberFormat="1" applyFont="1" applyBorder="1" applyAlignment="1">
      <alignment vertical="center"/>
    </xf>
    <xf numFmtId="4" fontId="22" fillId="2" borderId="57" xfId="8" applyNumberFormat="1" applyFont="1" applyFill="1" applyBorder="1" applyAlignment="1">
      <alignment vertical="center"/>
    </xf>
    <xf numFmtId="0" fontId="24" fillId="2" borderId="60" xfId="0" applyFont="1" applyFill="1" applyBorder="1" applyAlignment="1">
      <alignment horizontal="left"/>
    </xf>
    <xf numFmtId="49" fontId="24" fillId="2" borderId="49" xfId="0" applyNumberFormat="1" applyFont="1" applyFill="1" applyBorder="1" applyAlignment="1">
      <alignment horizontal="left"/>
    </xf>
    <xf numFmtId="0" fontId="22" fillId="2" borderId="61" xfId="0" applyFont="1" applyFill="1" applyBorder="1"/>
    <xf numFmtId="4" fontId="22" fillId="0" borderId="62" xfId="8" applyNumberFormat="1" applyFont="1" applyBorder="1" applyAlignment="1">
      <alignment vertical="center"/>
    </xf>
    <xf numFmtId="1" fontId="21" fillId="3" borderId="46" xfId="9" applyNumberFormat="1" applyFont="1" applyFill="1" applyBorder="1" applyAlignment="1">
      <alignment horizontal="left"/>
    </xf>
    <xf numFmtId="49" fontId="21" fillId="3" borderId="52" xfId="9" applyNumberFormat="1" applyFont="1" applyFill="1" applyBorder="1" applyAlignment="1">
      <alignment horizontal="left"/>
    </xf>
    <xf numFmtId="37" fontId="21" fillId="3" borderId="13" xfId="9" applyFont="1" applyFill="1" applyBorder="1"/>
    <xf numFmtId="4" fontId="21" fillId="3" borderId="47" xfId="10" applyNumberFormat="1" applyFont="1" applyFill="1" applyBorder="1"/>
    <xf numFmtId="1" fontId="22" fillId="0" borderId="7" xfId="9" applyNumberFormat="1" applyFont="1" applyBorder="1"/>
    <xf numFmtId="49" fontId="22" fillId="0" borderId="4" xfId="9" applyNumberFormat="1" applyFont="1" applyBorder="1"/>
    <xf numFmtId="37" fontId="22" fillId="0" borderId="4" xfId="9" applyFont="1" applyBorder="1"/>
    <xf numFmtId="4" fontId="22" fillId="0" borderId="8" xfId="10" applyNumberFormat="1" applyFont="1" applyFill="1" applyBorder="1"/>
    <xf numFmtId="37" fontId="22" fillId="0" borderId="5" xfId="9" applyFont="1" applyBorder="1"/>
    <xf numFmtId="4" fontId="22" fillId="0" borderId="1" xfId="10" applyNumberFormat="1" applyFont="1" applyFill="1" applyBorder="1"/>
    <xf numFmtId="37" fontId="21" fillId="0" borderId="5" xfId="9" applyFont="1" applyBorder="1"/>
    <xf numFmtId="49" fontId="3" fillId="0" borderId="2" xfId="0" applyNumberFormat="1" applyFont="1" applyBorder="1" applyAlignment="1">
      <alignment horizontal="center"/>
    </xf>
    <xf numFmtId="37" fontId="21" fillId="0" borderId="5" xfId="11" applyFont="1" applyBorder="1"/>
    <xf numFmtId="4" fontId="21" fillId="0" borderId="1" xfId="11" applyNumberFormat="1" applyFont="1" applyBorder="1" applyAlignment="1">
      <alignment wrapText="1"/>
    </xf>
    <xf numFmtId="37" fontId="22" fillId="0" borderId="6" xfId="11" applyFont="1" applyBorder="1"/>
    <xf numFmtId="49" fontId="22" fillId="0" borderId="2" xfId="11" applyNumberFormat="1" applyFont="1" applyBorder="1"/>
    <xf numFmtId="37" fontId="21" fillId="0" borderId="2" xfId="11" applyFont="1" applyBorder="1"/>
    <xf numFmtId="4" fontId="22" fillId="0" borderId="3" xfId="11" applyNumberFormat="1" applyFont="1" applyBorder="1"/>
    <xf numFmtId="37" fontId="21" fillId="0" borderId="25" xfId="9" applyFont="1" applyBorder="1"/>
    <xf numFmtId="4" fontId="21" fillId="0" borderId="45" xfId="10" applyNumberFormat="1" applyFont="1" applyBorder="1" applyAlignment="1">
      <alignment horizontal="center"/>
    </xf>
    <xf numFmtId="0" fontId="21" fillId="3" borderId="63" xfId="9" applyNumberFormat="1" applyFont="1" applyFill="1" applyBorder="1" applyAlignment="1">
      <alignment horizontal="center"/>
    </xf>
    <xf numFmtId="37" fontId="21" fillId="3" borderId="38" xfId="9" applyFont="1" applyFill="1" applyBorder="1"/>
    <xf numFmtId="37" fontId="21" fillId="3" borderId="32" xfId="9" applyFont="1" applyFill="1" applyBorder="1"/>
    <xf numFmtId="37" fontId="21" fillId="3" borderId="32" xfId="9" applyFont="1" applyFill="1" applyBorder="1" applyAlignment="1">
      <alignment vertical="top" wrapText="1"/>
    </xf>
    <xf numFmtId="0" fontId="21" fillId="2" borderId="55" xfId="0" applyFont="1" applyFill="1" applyBorder="1" applyAlignment="1">
      <alignment vertical="center"/>
    </xf>
    <xf numFmtId="0" fontId="21" fillId="2" borderId="43" xfId="0" applyFont="1" applyFill="1" applyBorder="1" applyAlignment="1">
      <alignment wrapText="1"/>
    </xf>
    <xf numFmtId="0" fontId="21" fillId="2" borderId="12" xfId="0" applyFont="1" applyFill="1" applyBorder="1" applyAlignment="1">
      <alignment wrapText="1"/>
    </xf>
    <xf numFmtId="4" fontId="25" fillId="2" borderId="57" xfId="8" applyNumberFormat="1" applyFont="1" applyFill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22" fillId="0" borderId="43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4" fontId="25" fillId="0" borderId="57" xfId="8" applyNumberFormat="1" applyFont="1" applyFill="1" applyBorder="1" applyAlignment="1">
      <alignment vertical="center"/>
    </xf>
    <xf numFmtId="0" fontId="22" fillId="2" borderId="32" xfId="0" applyFont="1" applyFill="1" applyBorder="1" applyAlignment="1">
      <alignment wrapText="1"/>
    </xf>
    <xf numFmtId="1" fontId="21" fillId="3" borderId="44" xfId="9" applyNumberFormat="1" applyFont="1" applyFill="1" applyBorder="1" applyAlignment="1">
      <alignment horizontal="center"/>
    </xf>
    <xf numFmtId="37" fontId="22" fillId="0" borderId="2" xfId="9" applyFont="1" applyBorder="1"/>
    <xf numFmtId="0" fontId="2" fillId="0" borderId="0" xfId="5" applyFont="1"/>
    <xf numFmtId="0" fontId="3" fillId="0" borderId="2" xfId="0" applyFont="1" applyBorder="1" applyAlignment="1">
      <alignment horizontal="center"/>
    </xf>
    <xf numFmtId="43" fontId="0" fillId="0" borderId="0" xfId="0" applyNumberFormat="1"/>
    <xf numFmtId="4" fontId="2" fillId="0" borderId="20" xfId="1" applyNumberFormat="1" applyFont="1" applyBorder="1"/>
    <xf numFmtId="4" fontId="0" fillId="0" borderId="0" xfId="0" applyNumberFormat="1"/>
    <xf numFmtId="39" fontId="3" fillId="0" borderId="11" xfId="1" applyNumberFormat="1" applyFont="1" applyBorder="1" applyAlignment="1">
      <alignment horizontal="right"/>
    </xf>
    <xf numFmtId="0" fontId="5" fillId="0" borderId="19" xfId="5" applyFont="1" applyBorder="1" applyAlignment="1">
      <alignment horizontal="left" wrapText="1"/>
    </xf>
    <xf numFmtId="0" fontId="5" fillId="0" borderId="18" xfId="5" applyFont="1" applyBorder="1" applyAlignment="1">
      <alignment horizontal="left" wrapText="1"/>
    </xf>
    <xf numFmtId="164" fontId="8" fillId="0" borderId="0" xfId="1" applyFont="1"/>
    <xf numFmtId="0" fontId="17" fillId="0" borderId="7" xfId="5" applyFont="1" applyBorder="1" applyAlignment="1">
      <alignment horizontal="left"/>
    </xf>
    <xf numFmtId="164" fontId="17" fillId="0" borderId="4" xfId="3" applyFont="1" applyBorder="1" applyAlignment="1">
      <alignment horizontal="right"/>
    </xf>
    <xf numFmtId="164" fontId="18" fillId="0" borderId="4" xfId="3" applyFont="1" applyBorder="1" applyAlignment="1">
      <alignment horizontal="right"/>
    </xf>
    <xf numFmtId="0" fontId="2" fillId="0" borderId="5" xfId="6" applyFont="1" applyBorder="1"/>
    <xf numFmtId="39" fontId="2" fillId="0" borderId="26" xfId="3" applyNumberFormat="1" applyFont="1" applyBorder="1" applyAlignment="1">
      <alignment horizontal="right"/>
    </xf>
    <xf numFmtId="4" fontId="3" fillId="0" borderId="25" xfId="3" applyNumberFormat="1" applyFont="1" applyBorder="1" applyAlignment="1">
      <alignment horizontal="right"/>
    </xf>
    <xf numFmtId="4" fontId="2" fillId="0" borderId="21" xfId="3" applyNumberFormat="1" applyFont="1" applyBorder="1" applyAlignment="1">
      <alignment horizontal="right"/>
    </xf>
    <xf numFmtId="4" fontId="2" fillId="0" borderId="22" xfId="3" applyNumberFormat="1" applyFont="1" applyBorder="1" applyAlignment="1">
      <alignment horizontal="right"/>
    </xf>
    <xf numFmtId="164" fontId="3" fillId="0" borderId="3" xfId="3" applyFont="1" applyBorder="1" applyAlignment="1">
      <alignment horizontal="right"/>
    </xf>
    <xf numFmtId="39" fontId="2" fillId="0" borderId="24" xfId="3" applyNumberFormat="1" applyFont="1" applyBorder="1" applyAlignment="1">
      <alignment horizontal="right"/>
    </xf>
    <xf numFmtId="39" fontId="2" fillId="0" borderId="64" xfId="3" applyNumberFormat="1" applyFont="1" applyBorder="1" applyAlignment="1">
      <alignment horizontal="right"/>
    </xf>
    <xf numFmtId="39" fontId="2" fillId="0" borderId="59" xfId="3" applyNumberFormat="1" applyFont="1" applyBorder="1" applyAlignment="1">
      <alignment horizontal="right"/>
    </xf>
    <xf numFmtId="0" fontId="4" fillId="0" borderId="5" xfId="5" applyFont="1" applyBorder="1" applyAlignment="1">
      <alignment horizontal="left"/>
    </xf>
    <xf numFmtId="39" fontId="2" fillId="0" borderId="8" xfId="3" applyNumberFormat="1" applyFont="1" applyBorder="1" applyAlignment="1">
      <alignment horizontal="right"/>
    </xf>
    <xf numFmtId="39" fontId="2" fillId="0" borderId="1" xfId="3" applyNumberFormat="1" applyFont="1" applyBorder="1" applyAlignment="1">
      <alignment horizontal="right"/>
    </xf>
    <xf numFmtId="0" fontId="2" fillId="0" borderId="0" xfId="0" applyFont="1"/>
    <xf numFmtId="166" fontId="8" fillId="0" borderId="0" xfId="5" applyNumberFormat="1"/>
    <xf numFmtId="0" fontId="3" fillId="0" borderId="2" xfId="0" applyFont="1" applyBorder="1"/>
    <xf numFmtId="4" fontId="2" fillId="0" borderId="35" xfId="3" applyNumberFormat="1" applyFont="1" applyBorder="1" applyAlignment="1">
      <alignment horizontal="right"/>
    </xf>
    <xf numFmtId="4" fontId="2" fillId="0" borderId="15" xfId="3" applyNumberFormat="1" applyFont="1" applyBorder="1" applyAlignment="1">
      <alignment horizontal="right"/>
    </xf>
    <xf numFmtId="4" fontId="3" fillId="0" borderId="2" xfId="3" applyNumberFormat="1" applyFont="1" applyBorder="1" applyAlignment="1">
      <alignment horizontal="right"/>
    </xf>
    <xf numFmtId="0" fontId="1" fillId="0" borderId="0" xfId="6"/>
    <xf numFmtId="0" fontId="1" fillId="0" borderId="2" xfId="6" applyBorder="1"/>
    <xf numFmtId="164" fontId="2" fillId="0" borderId="28" xfId="3" applyFont="1" applyBorder="1" applyAlignment="1">
      <alignment horizontal="right"/>
    </xf>
    <xf numFmtId="4" fontId="2" fillId="0" borderId="26" xfId="3" applyNumberFormat="1" applyFont="1" applyBorder="1" applyAlignment="1">
      <alignment horizontal="right"/>
    </xf>
    <xf numFmtId="164" fontId="2" fillId="0" borderId="26" xfId="3" applyFont="1" applyBorder="1" applyAlignment="1">
      <alignment horizontal="right"/>
    </xf>
    <xf numFmtId="0" fontId="21" fillId="3" borderId="47" xfId="10" applyNumberFormat="1" applyFont="1" applyFill="1" applyBorder="1" applyAlignment="1">
      <alignment horizontal="center"/>
    </xf>
    <xf numFmtId="39" fontId="2" fillId="0" borderId="12" xfId="3" applyNumberFormat="1" applyFont="1" applyBorder="1" applyAlignment="1">
      <alignment horizontal="right"/>
    </xf>
    <xf numFmtId="4" fontId="3" fillId="0" borderId="49" xfId="3" applyNumberFormat="1" applyFont="1" applyBorder="1" applyAlignment="1">
      <alignment horizontal="right"/>
    </xf>
    <xf numFmtId="164" fontId="18" fillId="0" borderId="0" xfId="3" applyFont="1" applyBorder="1" applyAlignment="1">
      <alignment horizontal="left"/>
    </xf>
    <xf numFmtId="0" fontId="3" fillId="0" borderId="0" xfId="5" applyFont="1"/>
    <xf numFmtId="0" fontId="8" fillId="0" borderId="2" xfId="5" applyBorder="1"/>
    <xf numFmtId="0" fontId="15" fillId="0" borderId="0" xfId="0" applyFont="1"/>
    <xf numFmtId="0" fontId="13" fillId="0" borderId="1" xfId="0" applyFont="1" applyBorder="1"/>
    <xf numFmtId="0" fontId="3" fillId="0" borderId="1" xfId="0" applyFont="1" applyBorder="1"/>
    <xf numFmtId="0" fontId="2" fillId="0" borderId="1" xfId="5" applyFont="1" applyBorder="1"/>
    <xf numFmtId="164" fontId="16" fillId="0" borderId="1" xfId="3" applyFont="1" applyBorder="1" applyAlignment="1">
      <alignment horizontal="left"/>
    </xf>
    <xf numFmtId="39" fontId="3" fillId="0" borderId="25" xfId="3" applyNumberFormat="1" applyFont="1" applyBorder="1" applyAlignment="1">
      <alignment horizontal="right"/>
    </xf>
    <xf numFmtId="164" fontId="3" fillId="2" borderId="25" xfId="3" applyFont="1" applyFill="1" applyBorder="1" applyAlignment="1">
      <alignment horizontal="right"/>
    </xf>
    <xf numFmtId="0" fontId="9" fillId="0" borderId="2" xfId="0" applyFont="1" applyBorder="1"/>
    <xf numFmtId="39" fontId="2" fillId="0" borderId="30" xfId="3" applyNumberFormat="1" applyFont="1" applyBorder="1" applyAlignment="1">
      <alignment horizontal="right"/>
    </xf>
    <xf numFmtId="39" fontId="2" fillId="0" borderId="31" xfId="3" applyNumberFormat="1" applyFont="1" applyBorder="1" applyAlignment="1">
      <alignment horizontal="right"/>
    </xf>
    <xf numFmtId="0" fontId="4" fillId="0" borderId="46" xfId="0" applyFont="1" applyBorder="1"/>
    <xf numFmtId="0" fontId="4" fillId="0" borderId="6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4" fillId="0" borderId="13" xfId="1" applyFont="1" applyBorder="1" applyAlignment="1">
      <alignment horizontal="center" wrapText="1"/>
    </xf>
    <xf numFmtId="164" fontId="4" fillId="0" borderId="47" xfId="1" applyFont="1" applyBorder="1" applyAlignment="1">
      <alignment horizontal="center" wrapText="1"/>
    </xf>
    <xf numFmtId="49" fontId="4" fillId="0" borderId="46" xfId="0" applyNumberFormat="1" applyFont="1" applyBorder="1"/>
    <xf numFmtId="164" fontId="4" fillId="0" borderId="13" xfId="1" applyFont="1" applyBorder="1"/>
    <xf numFmtId="4" fontId="4" fillId="0" borderId="47" xfId="1" applyNumberFormat="1" applyFont="1" applyBorder="1"/>
    <xf numFmtId="49" fontId="1" fillId="0" borderId="39" xfId="0" applyNumberFormat="1" applyFont="1" applyBorder="1"/>
    <xf numFmtId="0" fontId="1" fillId="0" borderId="65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164" fontId="0" fillId="0" borderId="36" xfId="1" applyFont="1" applyBorder="1"/>
    <xf numFmtId="4" fontId="0" fillId="0" borderId="59" xfId="1" applyNumberFormat="1" applyFont="1" applyBorder="1"/>
    <xf numFmtId="0" fontId="1" fillId="2" borderId="6" xfId="6" applyFill="1" applyBorder="1"/>
    <xf numFmtId="164" fontId="26" fillId="2" borderId="5" xfId="1" applyFont="1" applyFill="1" applyBorder="1" applyAlignment="1">
      <alignment horizontal="center"/>
    </xf>
    <xf numFmtId="164" fontId="26" fillId="2" borderId="0" xfId="1" applyFont="1" applyFill="1" applyBorder="1" applyAlignment="1">
      <alignment horizontal="center"/>
    </xf>
    <xf numFmtId="164" fontId="26" fillId="2" borderId="1" xfId="1" applyFont="1" applyFill="1" applyBorder="1" applyAlignment="1">
      <alignment horizontal="center"/>
    </xf>
    <xf numFmtId="0" fontId="0" fillId="2" borderId="0" xfId="0" applyFill="1"/>
    <xf numFmtId="49" fontId="1" fillId="0" borderId="9" xfId="0" applyNumberFormat="1" applyFont="1" applyBorder="1"/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164" fontId="0" fillId="0" borderId="68" xfId="1" applyFont="1" applyBorder="1"/>
    <xf numFmtId="4" fontId="0" fillId="0" borderId="64" xfId="1" applyNumberFormat="1" applyFont="1" applyBorder="1"/>
    <xf numFmtId="4" fontId="0" fillId="0" borderId="36" xfId="1" applyNumberFormat="1" applyFont="1" applyBorder="1"/>
    <xf numFmtId="4" fontId="2" fillId="0" borderId="27" xfId="3" applyNumberFormat="1" applyFont="1" applyBorder="1" applyAlignment="1">
      <alignment horizontal="right"/>
    </xf>
    <xf numFmtId="164" fontId="3" fillId="0" borderId="16" xfId="3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5" fillId="0" borderId="6" xfId="0" applyFont="1" applyBorder="1"/>
    <xf numFmtId="49" fontId="22" fillId="0" borderId="0" xfId="9" applyNumberFormat="1" applyFont="1"/>
    <xf numFmtId="37" fontId="22" fillId="0" borderId="0" xfId="9" applyFont="1"/>
    <xf numFmtId="49" fontId="21" fillId="0" borderId="0" xfId="9" applyNumberFormat="1" applyFont="1"/>
    <xf numFmtId="0" fontId="3" fillId="0" borderId="1" xfId="0" applyFont="1" applyBorder="1" applyAlignment="1">
      <alignment horizontal="center"/>
    </xf>
    <xf numFmtId="49" fontId="21" fillId="0" borderId="0" xfId="11" applyNumberFormat="1" applyFont="1"/>
    <xf numFmtId="37" fontId="21" fillId="0" borderId="0" xfId="11" applyFont="1"/>
    <xf numFmtId="4" fontId="4" fillId="0" borderId="30" xfId="0" applyNumberFormat="1" applyFont="1" applyBorder="1"/>
    <xf numFmtId="166" fontId="0" fillId="0" borderId="0" xfId="0" applyNumberFormat="1"/>
    <xf numFmtId="4" fontId="5" fillId="0" borderId="0" xfId="0" applyNumberFormat="1" applyFont="1"/>
    <xf numFmtId="43" fontId="5" fillId="0" borderId="0" xfId="0" applyNumberFormat="1" applyFont="1"/>
    <xf numFmtId="4" fontId="2" fillId="0" borderId="28" xfId="1" applyNumberFormat="1" applyFont="1" applyBorder="1" applyAlignment="1">
      <alignment horizontal="right"/>
    </xf>
    <xf numFmtId="0" fontId="5" fillId="0" borderId="18" xfId="6" applyFont="1" applyBorder="1" applyAlignment="1">
      <alignment horizontal="left"/>
    </xf>
    <xf numFmtId="0" fontId="5" fillId="0" borderId="27" xfId="6" applyFont="1" applyBorder="1" applyAlignment="1">
      <alignment horizontal="left"/>
    </xf>
    <xf numFmtId="0" fontId="5" fillId="0" borderId="19" xfId="6" applyFont="1" applyBorder="1" applyAlignment="1">
      <alignment horizontal="left"/>
    </xf>
    <xf numFmtId="4" fontId="2" fillId="0" borderId="26" xfId="0" applyNumberFormat="1" applyFont="1" applyBorder="1"/>
    <xf numFmtId="10" fontId="2" fillId="0" borderId="69" xfId="1" applyNumberFormat="1" applyFont="1" applyBorder="1"/>
    <xf numFmtId="10" fontId="2" fillId="0" borderId="14" xfId="1" applyNumberFormat="1" applyFont="1" applyBorder="1"/>
    <xf numFmtId="164" fontId="28" fillId="0" borderId="2" xfId="1" applyFont="1" applyBorder="1"/>
    <xf numFmtId="0" fontId="5" fillId="0" borderId="2" xfId="0" applyFont="1" applyBorder="1"/>
    <xf numFmtId="43" fontId="29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3" fontId="1" fillId="0" borderId="0" xfId="0" applyNumberFormat="1" applyFont="1"/>
    <xf numFmtId="164" fontId="29" fillId="0" borderId="2" xfId="1" applyFont="1" applyBorder="1" applyAlignment="1">
      <alignment horizontal="right"/>
    </xf>
    <xf numFmtId="39" fontId="2" fillId="0" borderId="18" xfId="3" applyNumberFormat="1" applyFont="1" applyBorder="1" applyAlignment="1">
      <alignment horizontal="right"/>
    </xf>
    <xf numFmtId="39" fontId="2" fillId="0" borderId="15" xfId="3" applyNumberFormat="1" applyFont="1" applyBorder="1" applyAlignment="1">
      <alignment horizontal="right"/>
    </xf>
    <xf numFmtId="0" fontId="13" fillId="0" borderId="3" xfId="0" applyFont="1" applyBorder="1"/>
    <xf numFmtId="37" fontId="21" fillId="0" borderId="44" xfId="9" applyFont="1" applyBorder="1" applyAlignment="1">
      <alignment horizontal="center"/>
    </xf>
    <xf numFmtId="37" fontId="21" fillId="0" borderId="45" xfId="9" applyFont="1" applyBorder="1" applyAlignment="1">
      <alignment horizontal="center"/>
    </xf>
    <xf numFmtId="165" fontId="21" fillId="0" borderId="44" xfId="10" applyNumberFormat="1" applyFont="1" applyBorder="1" applyAlignment="1">
      <alignment horizontal="center"/>
    </xf>
    <xf numFmtId="165" fontId="21" fillId="0" borderId="45" xfId="10" applyNumberFormat="1" applyFont="1" applyBorder="1" applyAlignment="1">
      <alignment horizontal="center"/>
    </xf>
    <xf numFmtId="1" fontId="21" fillId="3" borderId="25" xfId="9" applyNumberFormat="1" applyFont="1" applyFill="1" applyBorder="1" applyAlignment="1">
      <alignment horizontal="center"/>
    </xf>
    <xf numFmtId="1" fontId="21" fillId="3" borderId="52" xfId="9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37" fontId="21" fillId="0" borderId="7" xfId="9" applyFont="1" applyBorder="1" applyAlignment="1">
      <alignment horizontal="center"/>
    </xf>
    <xf numFmtId="37" fontId="21" fillId="0" borderId="4" xfId="9" applyFont="1" applyBorder="1" applyAlignment="1">
      <alignment horizontal="center"/>
    </xf>
    <xf numFmtId="37" fontId="21" fillId="0" borderId="8" xfId="9" applyFont="1" applyBorder="1" applyAlignment="1">
      <alignment horizontal="center"/>
    </xf>
    <xf numFmtId="37" fontId="21" fillId="0" borderId="5" xfId="9" applyFont="1" applyBorder="1" applyAlignment="1">
      <alignment horizontal="center"/>
    </xf>
    <xf numFmtId="37" fontId="21" fillId="0" borderId="0" xfId="9" applyFont="1" applyAlignment="1">
      <alignment horizontal="center"/>
    </xf>
    <xf numFmtId="37" fontId="21" fillId="0" borderId="1" xfId="9" applyFont="1" applyBorder="1" applyAlignment="1">
      <alignment horizontal="center"/>
    </xf>
    <xf numFmtId="37" fontId="21" fillId="0" borderId="5" xfId="9" applyFont="1" applyBorder="1" applyAlignment="1">
      <alignment horizontal="left"/>
    </xf>
    <xf numFmtId="37" fontId="21" fillId="0" borderId="0" xfId="9" applyFont="1" applyAlignment="1">
      <alignment horizontal="left"/>
    </xf>
    <xf numFmtId="37" fontId="21" fillId="0" borderId="1" xfId="9" applyFont="1" applyBorder="1" applyAlignment="1">
      <alignment horizontal="left"/>
    </xf>
    <xf numFmtId="165" fontId="22" fillId="0" borderId="5" xfId="10" applyNumberFormat="1" applyFont="1" applyBorder="1" applyAlignment="1">
      <alignment horizontal="center"/>
    </xf>
    <xf numFmtId="165" fontId="22" fillId="0" borderId="0" xfId="10" applyNumberFormat="1" applyFont="1" applyBorder="1" applyAlignment="1">
      <alignment horizontal="center"/>
    </xf>
    <xf numFmtId="165" fontId="22" fillId="0" borderId="1" xfId="10" applyNumberFormat="1" applyFont="1" applyBorder="1" applyAlignment="1">
      <alignment horizontal="center"/>
    </xf>
    <xf numFmtId="0" fontId="17" fillId="0" borderId="7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0" fontId="17" fillId="0" borderId="6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3" xfId="5" applyFont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164" fontId="26" fillId="4" borderId="6" xfId="1" applyFont="1" applyFill="1" applyBorder="1" applyAlignment="1">
      <alignment horizontal="center"/>
    </xf>
    <xf numFmtId="164" fontId="26" fillId="4" borderId="2" xfId="1" applyFont="1" applyFill="1" applyBorder="1" applyAlignment="1">
      <alignment horizontal="center"/>
    </xf>
    <xf numFmtId="164" fontId="26" fillId="4" borderId="3" xfId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3" xfId="0" applyFont="1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4" fillId="0" borderId="3" xfId="1" applyFont="1" applyBorder="1" applyAlignment="1">
      <alignment horizontal="center"/>
    </xf>
  </cellXfs>
  <cellStyles count="12">
    <cellStyle name="Millares" xfId="1" builtinId="3"/>
    <cellStyle name="Millares 2" xfId="2" xr:uid="{00000000-0005-0000-0000-000001000000}"/>
    <cellStyle name="Millares 2 2" xfId="3" xr:uid="{00000000-0005-0000-0000-000002000000}"/>
    <cellStyle name="Millares 2 2 2" xfId="7" xr:uid="{00000000-0005-0000-0000-000003000000}"/>
    <cellStyle name="Millares 3" xfId="4" xr:uid="{00000000-0005-0000-0000-000004000000}"/>
    <cellStyle name="Millares 4" xfId="10" xr:uid="{00000000-0005-0000-0000-000005000000}"/>
    <cellStyle name="Moneda [0]" xfId="8" builtinId="7"/>
    <cellStyle name="Normal" xfId="0" builtinId="0"/>
    <cellStyle name="Normal 2" xfId="5" xr:uid="{00000000-0005-0000-0000-000008000000}"/>
    <cellStyle name="Normal 2 2" xfId="6" xr:uid="{00000000-0005-0000-0000-000009000000}"/>
    <cellStyle name="Normal 4" xfId="9" xr:uid="{00000000-0005-0000-0000-00000A000000}"/>
    <cellStyle name="Normal 5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1771650</xdr:colOff>
      <xdr:row>4</xdr:row>
      <xdr:rowOff>142875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A9F4E2B-F9AC-4895-A7FB-46187D2F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" t="11629" r="56476"/>
        <a:stretch>
          <a:fillRect/>
        </a:stretch>
      </xdr:blipFill>
      <xdr:spPr bwMode="auto">
        <a:xfrm>
          <a:off x="304800" y="0"/>
          <a:ext cx="36671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1762125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13F977-1CCE-4513-9A67-162EF241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" t="11629" r="56476"/>
        <a:stretch>
          <a:fillRect/>
        </a:stretch>
      </xdr:blipFill>
      <xdr:spPr bwMode="auto">
        <a:xfrm>
          <a:off x="8029575" y="0"/>
          <a:ext cx="3314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2133204</xdr:colOff>
      <xdr:row>1</xdr:row>
      <xdr:rowOff>347266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754086-DD63-4456-9F5E-2D5C7A19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" t="11629" r="56476"/>
        <a:stretch>
          <a:fillRect/>
        </a:stretch>
      </xdr:blipFill>
      <xdr:spPr bwMode="auto">
        <a:xfrm>
          <a:off x="128984" y="0"/>
          <a:ext cx="2133204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2692270</xdr:colOff>
      <xdr:row>3</xdr:row>
      <xdr:rowOff>9719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C28A5E5-71CC-4089-AD6D-6F7D9368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" t="11629" r="56476"/>
        <a:stretch>
          <a:fillRect/>
        </a:stretch>
      </xdr:blipFill>
      <xdr:spPr bwMode="auto">
        <a:xfrm>
          <a:off x="0" y="0"/>
          <a:ext cx="2692270" cy="524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6"/>
  <sheetViews>
    <sheetView workbookViewId="0">
      <selection activeCell="G1" sqref="G1:J30"/>
    </sheetView>
  </sheetViews>
  <sheetFormatPr baseColWidth="10" defaultColWidth="8.85546875" defaultRowHeight="12.75" x14ac:dyDescent="0.2"/>
  <cols>
    <col min="1" max="1" width="4.5703125" customWidth="1"/>
    <col min="2" max="2" width="27.140625" customWidth="1"/>
    <col min="3" max="3" width="1.28515625" customWidth="1"/>
    <col min="4" max="4" width="55.5703125" customWidth="1"/>
    <col min="5" max="5" width="27.28515625" customWidth="1"/>
    <col min="6" max="6" width="4.5703125" customWidth="1"/>
    <col min="7" max="7" width="23.28515625" customWidth="1"/>
    <col min="8" max="8" width="36.42578125" customWidth="1"/>
    <col min="9" max="9" width="5" customWidth="1"/>
    <col min="10" max="10" width="39" customWidth="1"/>
    <col min="11" max="244" width="11.42578125" customWidth="1"/>
  </cols>
  <sheetData>
    <row r="1" spans="1:10" ht="12.75" customHeight="1" x14ac:dyDescent="0.2">
      <c r="B1" s="431"/>
      <c r="C1" s="432"/>
      <c r="D1" s="432"/>
      <c r="E1" s="433"/>
      <c r="G1" s="431"/>
      <c r="H1" s="432"/>
      <c r="I1" s="432"/>
      <c r="J1" s="433"/>
    </row>
    <row r="2" spans="1:10" ht="12.75" customHeight="1" x14ac:dyDescent="0.2">
      <c r="B2" s="434"/>
      <c r="C2" s="435"/>
      <c r="D2" s="435"/>
      <c r="E2" s="436"/>
      <c r="G2" s="434"/>
      <c r="H2" s="435"/>
      <c r="I2" s="435"/>
      <c r="J2" s="436"/>
    </row>
    <row r="3" spans="1:10" ht="12.75" customHeight="1" x14ac:dyDescent="0.2">
      <c r="A3" s="24"/>
      <c r="B3" s="434"/>
      <c r="C3" s="435"/>
      <c r="D3" s="435"/>
      <c r="E3" s="436"/>
      <c r="G3" s="434"/>
      <c r="H3" s="435"/>
      <c r="I3" s="435"/>
      <c r="J3" s="436"/>
    </row>
    <row r="4" spans="1:10" ht="12.75" customHeight="1" x14ac:dyDescent="0.2">
      <c r="A4" s="24"/>
      <c r="B4" s="434"/>
      <c r="C4" s="435"/>
      <c r="D4" s="435"/>
      <c r="E4" s="436"/>
      <c r="G4" s="434"/>
      <c r="H4" s="435"/>
      <c r="I4" s="435"/>
      <c r="J4" s="436"/>
    </row>
    <row r="5" spans="1:10" ht="13.5" customHeight="1" thickBot="1" x14ac:dyDescent="0.25">
      <c r="A5" s="24"/>
      <c r="B5" s="437"/>
      <c r="C5" s="438"/>
      <c r="D5" s="438"/>
      <c r="E5" s="439"/>
      <c r="G5" s="434"/>
      <c r="H5" s="435"/>
      <c r="I5" s="435"/>
      <c r="J5" s="436"/>
    </row>
    <row r="6" spans="1:10" ht="18.75" customHeight="1" thickBot="1" x14ac:dyDescent="0.3">
      <c r="A6" s="24"/>
      <c r="B6" s="440" t="s">
        <v>0</v>
      </c>
      <c r="C6" s="441"/>
      <c r="D6" s="441"/>
      <c r="E6" s="442"/>
      <c r="G6" s="437"/>
      <c r="H6" s="438"/>
      <c r="I6" s="438"/>
      <c r="J6" s="439"/>
    </row>
    <row r="7" spans="1:10" ht="18" x14ac:dyDescent="0.25">
      <c r="A7" s="24"/>
      <c r="B7" s="443" t="s">
        <v>129</v>
      </c>
      <c r="C7" s="444"/>
      <c r="D7" s="444"/>
      <c r="E7" s="445"/>
      <c r="G7" s="440" t="s">
        <v>0</v>
      </c>
      <c r="H7" s="441"/>
      <c r="I7" s="441"/>
      <c r="J7" s="442"/>
    </row>
    <row r="8" spans="1:10" ht="18" x14ac:dyDescent="0.25">
      <c r="A8" s="24"/>
      <c r="B8" s="443" t="s">
        <v>327</v>
      </c>
      <c r="C8" s="444"/>
      <c r="D8" s="444"/>
      <c r="E8" s="445"/>
      <c r="G8" s="443" t="s">
        <v>129</v>
      </c>
      <c r="H8" s="444"/>
      <c r="I8" s="444"/>
      <c r="J8" s="445"/>
    </row>
    <row r="9" spans="1:10" ht="18.75" thickBot="1" x14ac:dyDescent="0.3">
      <c r="A9" s="24"/>
      <c r="B9" s="449" t="s">
        <v>323</v>
      </c>
      <c r="C9" s="450"/>
      <c r="D9" s="450"/>
      <c r="E9" s="451"/>
      <c r="G9" s="446"/>
      <c r="H9" s="447"/>
      <c r="I9" s="447"/>
      <c r="J9" s="448"/>
    </row>
    <row r="10" spans="1:10" ht="18.75" thickBot="1" x14ac:dyDescent="0.3">
      <c r="A10" s="24"/>
      <c r="B10" s="220" t="s">
        <v>130</v>
      </c>
      <c r="C10" s="221"/>
      <c r="D10" s="425" t="s">
        <v>131</v>
      </c>
      <c r="E10" s="426"/>
      <c r="G10" s="443" t="s">
        <v>328</v>
      </c>
      <c r="H10" s="444"/>
      <c r="I10" s="444"/>
      <c r="J10" s="445"/>
    </row>
    <row r="11" spans="1:10" ht="18.75" thickBot="1" x14ac:dyDescent="0.3">
      <c r="A11" s="24"/>
      <c r="B11" s="220" t="s">
        <v>132</v>
      </c>
      <c r="C11" s="221"/>
      <c r="D11" s="427" t="s">
        <v>133</v>
      </c>
      <c r="E11" s="428"/>
      <c r="G11" s="449" t="s">
        <v>324</v>
      </c>
      <c r="H11" s="450"/>
      <c r="I11" s="450"/>
      <c r="J11" s="451"/>
    </row>
    <row r="12" spans="1:10" ht="18.75" thickBot="1" x14ac:dyDescent="0.3">
      <c r="A12" s="24"/>
      <c r="B12" s="223" t="s">
        <v>134</v>
      </c>
      <c r="C12" s="224"/>
      <c r="D12" s="225" t="s">
        <v>135</v>
      </c>
      <c r="E12" s="354">
        <v>2025</v>
      </c>
      <c r="G12" s="220" t="s">
        <v>130</v>
      </c>
      <c r="H12" s="425" t="s">
        <v>131</v>
      </c>
      <c r="I12" s="425"/>
      <c r="J12" s="426"/>
    </row>
    <row r="13" spans="1:10" ht="18.75" thickBot="1" x14ac:dyDescent="0.3">
      <c r="A13" s="24"/>
      <c r="B13" s="226">
        <v>2</v>
      </c>
      <c r="C13" s="227"/>
      <c r="D13" s="228" t="s">
        <v>136</v>
      </c>
      <c r="E13" s="229">
        <f>+E14</f>
        <v>7555228867</v>
      </c>
      <c r="G13" s="220" t="s">
        <v>132</v>
      </c>
      <c r="H13" s="427" t="s">
        <v>133</v>
      </c>
      <c r="I13" s="427"/>
      <c r="J13" s="428"/>
    </row>
    <row r="14" spans="1:10" ht="18.75" thickBot="1" x14ac:dyDescent="0.3">
      <c r="A14" s="24"/>
      <c r="B14" s="230" t="s">
        <v>137</v>
      </c>
      <c r="C14" s="231"/>
      <c r="D14" s="232" t="s">
        <v>138</v>
      </c>
      <c r="E14" s="233">
        <f>+E15+E48+E86+E94</f>
        <v>7555228867</v>
      </c>
      <c r="G14" s="302"/>
      <c r="H14" s="222"/>
      <c r="I14" s="222"/>
      <c r="J14" s="303"/>
    </row>
    <row r="15" spans="1:10" ht="18.75" thickBot="1" x14ac:dyDescent="0.3">
      <c r="A15" s="24"/>
      <c r="B15" s="230" t="s">
        <v>139</v>
      </c>
      <c r="C15" s="231"/>
      <c r="D15" s="234" t="s">
        <v>140</v>
      </c>
      <c r="E15" s="235">
        <f>+E16</f>
        <v>3012351682</v>
      </c>
      <c r="G15" s="223" t="s">
        <v>134</v>
      </c>
      <c r="H15" s="225" t="s">
        <v>135</v>
      </c>
      <c r="I15" s="304"/>
      <c r="J15" s="354">
        <v>2025</v>
      </c>
    </row>
    <row r="16" spans="1:10" ht="19.5" customHeight="1" x14ac:dyDescent="0.25">
      <c r="A16" s="24"/>
      <c r="B16" s="230" t="s">
        <v>141</v>
      </c>
      <c r="C16" s="231"/>
      <c r="D16" s="234" t="s">
        <v>142</v>
      </c>
      <c r="E16" s="235">
        <f>+E17+E29+E39</f>
        <v>3012351682</v>
      </c>
      <c r="G16" s="226" t="s">
        <v>282</v>
      </c>
      <c r="H16" s="228" t="s">
        <v>283</v>
      </c>
      <c r="I16" s="305"/>
      <c r="J16" s="229">
        <f>+J17</f>
        <v>7555228867</v>
      </c>
    </row>
    <row r="17" spans="1:10" ht="19.5" customHeight="1" x14ac:dyDescent="0.25">
      <c r="A17" s="24"/>
      <c r="B17" s="230" t="s">
        <v>143</v>
      </c>
      <c r="C17" s="231"/>
      <c r="D17" s="234" t="s">
        <v>144</v>
      </c>
      <c r="E17" s="235">
        <f>+E18+E22+E26</f>
        <v>2025167102</v>
      </c>
      <c r="G17" s="230" t="s">
        <v>284</v>
      </c>
      <c r="H17" s="232" t="s">
        <v>285</v>
      </c>
      <c r="I17" s="306"/>
      <c r="J17" s="233">
        <f>+J18</f>
        <v>7555228867</v>
      </c>
    </row>
    <row r="18" spans="1:10" ht="19.5" customHeight="1" thickBot="1" x14ac:dyDescent="0.25">
      <c r="A18" s="24"/>
      <c r="B18" s="236" t="s">
        <v>145</v>
      </c>
      <c r="C18" s="237"/>
      <c r="D18" s="238" t="s">
        <v>59</v>
      </c>
      <c r="E18" s="239">
        <f>+E19+E20+E21</f>
        <v>1731836323</v>
      </c>
      <c r="G18" s="230" t="s">
        <v>286</v>
      </c>
      <c r="H18" s="234" t="s">
        <v>287</v>
      </c>
      <c r="I18" s="307"/>
      <c r="J18" s="235">
        <f>+J19</f>
        <v>7555228867</v>
      </c>
    </row>
    <row r="19" spans="1:10" ht="19.5" customHeight="1" x14ac:dyDescent="0.2">
      <c r="A19" s="24"/>
      <c r="B19" s="240" t="s">
        <v>146</v>
      </c>
      <c r="C19" s="241"/>
      <c r="D19" s="242" t="s">
        <v>147</v>
      </c>
      <c r="E19" s="243">
        <v>1613616502</v>
      </c>
      <c r="G19" s="230" t="s">
        <v>288</v>
      </c>
      <c r="H19" s="234" t="s">
        <v>289</v>
      </c>
      <c r="I19" s="307"/>
      <c r="J19" s="235">
        <f>+J20</f>
        <v>7555228867</v>
      </c>
    </row>
    <row r="20" spans="1:10" ht="19.5" customHeight="1" x14ac:dyDescent="0.2">
      <c r="A20" s="24"/>
      <c r="B20" s="244" t="s">
        <v>148</v>
      </c>
      <c r="C20" s="245"/>
      <c r="D20" s="246" t="s">
        <v>60</v>
      </c>
      <c r="E20" s="247">
        <v>71156006</v>
      </c>
      <c r="G20" s="230" t="s">
        <v>290</v>
      </c>
      <c r="H20" s="234" t="s">
        <v>291</v>
      </c>
      <c r="I20" s="307"/>
      <c r="J20" s="235">
        <f>+J21</f>
        <v>7555228867</v>
      </c>
    </row>
    <row r="21" spans="1:10" ht="19.5" customHeight="1" x14ac:dyDescent="0.25">
      <c r="A21" s="24"/>
      <c r="B21" s="244" t="s">
        <v>149</v>
      </c>
      <c r="C21" s="245"/>
      <c r="D21" s="246" t="s">
        <v>150</v>
      </c>
      <c r="E21" s="247">
        <v>47063815</v>
      </c>
      <c r="G21" s="308" t="s">
        <v>292</v>
      </c>
      <c r="H21" s="309" t="s">
        <v>233</v>
      </c>
      <c r="I21" s="310"/>
      <c r="J21" s="311">
        <f>+J22+J23</f>
        <v>7555228867</v>
      </c>
    </row>
    <row r="22" spans="1:10" ht="19.5" customHeight="1" x14ac:dyDescent="0.25">
      <c r="A22" s="24"/>
      <c r="B22" s="248" t="s">
        <v>151</v>
      </c>
      <c r="C22" s="249"/>
      <c r="D22" s="250" t="s">
        <v>63</v>
      </c>
      <c r="E22" s="251">
        <f>+E23+E24+E25</f>
        <v>269781862</v>
      </c>
      <c r="G22" s="312" t="s">
        <v>293</v>
      </c>
      <c r="H22" s="313" t="s">
        <v>55</v>
      </c>
      <c r="I22" s="314"/>
      <c r="J22" s="315">
        <v>6995228867</v>
      </c>
    </row>
    <row r="23" spans="1:10" ht="19.5" customHeight="1" thickBot="1" x14ac:dyDescent="0.3">
      <c r="A23" s="24"/>
      <c r="B23" s="244" t="s">
        <v>152</v>
      </c>
      <c r="C23" s="245"/>
      <c r="D23" s="246" t="s">
        <v>61</v>
      </c>
      <c r="E23" s="247">
        <v>152897470</v>
      </c>
      <c r="G23" s="312" t="s">
        <v>294</v>
      </c>
      <c r="H23" s="272" t="s">
        <v>295</v>
      </c>
      <c r="I23" s="316"/>
      <c r="J23" s="311">
        <v>560000000</v>
      </c>
    </row>
    <row r="24" spans="1:10" ht="19.5" customHeight="1" thickBot="1" x14ac:dyDescent="0.3">
      <c r="A24" s="24"/>
      <c r="B24" s="244" t="s">
        <v>153</v>
      </c>
      <c r="C24" s="245"/>
      <c r="D24" s="246" t="s">
        <v>62</v>
      </c>
      <c r="E24" s="247">
        <v>79384392</v>
      </c>
      <c r="G24" s="429" t="s">
        <v>296</v>
      </c>
      <c r="H24" s="430"/>
      <c r="I24" s="317"/>
      <c r="J24" s="287">
        <f>+J16</f>
        <v>7555228867</v>
      </c>
    </row>
    <row r="25" spans="1:10" ht="19.5" customHeight="1" x14ac:dyDescent="0.25">
      <c r="A25" s="24"/>
      <c r="B25" s="244" t="s">
        <v>154</v>
      </c>
      <c r="C25" s="245"/>
      <c r="D25" s="246" t="s">
        <v>155</v>
      </c>
      <c r="E25" s="247">
        <v>37500000</v>
      </c>
      <c r="G25" s="288"/>
      <c r="H25" s="290"/>
      <c r="I25" s="290"/>
      <c r="J25" s="291"/>
    </row>
    <row r="26" spans="1:10" ht="19.5" customHeight="1" x14ac:dyDescent="0.25">
      <c r="A26" s="24"/>
      <c r="B26" s="248" t="s">
        <v>156</v>
      </c>
      <c r="C26" s="249"/>
      <c r="D26" s="250" t="s">
        <v>64</v>
      </c>
      <c r="E26" s="251">
        <f>+E27</f>
        <v>23548917</v>
      </c>
      <c r="G26" s="292"/>
      <c r="H26" s="399"/>
      <c r="I26" s="399"/>
      <c r="J26" s="293"/>
    </row>
    <row r="27" spans="1:10" ht="19.5" customHeight="1" x14ac:dyDescent="0.25">
      <c r="A27" s="24"/>
      <c r="B27" s="244" t="s">
        <v>157</v>
      </c>
      <c r="C27" s="245"/>
      <c r="D27" s="246" t="s">
        <v>158</v>
      </c>
      <c r="E27" s="247">
        <f>+E28</f>
        <v>23548917</v>
      </c>
      <c r="G27" s="294"/>
      <c r="H27" s="399"/>
      <c r="I27" s="399"/>
      <c r="J27" s="293"/>
    </row>
    <row r="28" spans="1:10" ht="19.5" customHeight="1" thickBot="1" x14ac:dyDescent="0.3">
      <c r="A28" s="24"/>
      <c r="B28" s="244" t="s">
        <v>159</v>
      </c>
      <c r="C28" s="245"/>
      <c r="D28" s="246" t="s">
        <v>160</v>
      </c>
      <c r="E28" s="247">
        <v>23548917</v>
      </c>
      <c r="G28" s="190"/>
      <c r="H28" s="318"/>
      <c r="I28" s="399"/>
      <c r="J28" s="401"/>
    </row>
    <row r="29" spans="1:10" ht="19.5" customHeight="1" x14ac:dyDescent="0.25">
      <c r="A29" s="24"/>
      <c r="B29" s="248" t="s">
        <v>161</v>
      </c>
      <c r="C29" s="249"/>
      <c r="D29" s="250" t="s">
        <v>162</v>
      </c>
      <c r="E29" s="251">
        <f>+E30+E31+E32+E35+E36+E37+E38</f>
        <v>731243569</v>
      </c>
      <c r="G29" s="296" t="s">
        <v>302</v>
      </c>
      <c r="H29" s="402"/>
      <c r="I29" s="403"/>
      <c r="J29" s="297"/>
    </row>
    <row r="30" spans="1:10" ht="19.5" customHeight="1" thickBot="1" x14ac:dyDescent="0.3">
      <c r="A30" s="24"/>
      <c r="B30" s="252" t="s">
        <v>163</v>
      </c>
      <c r="C30" s="253"/>
      <c r="D30" s="246" t="s">
        <v>164</v>
      </c>
      <c r="E30" s="254">
        <v>202107508</v>
      </c>
      <c r="G30" s="298" t="s">
        <v>303</v>
      </c>
      <c r="H30" s="299"/>
      <c r="I30" s="300"/>
      <c r="J30" s="301"/>
    </row>
    <row r="31" spans="1:10" ht="19.5" customHeight="1" x14ac:dyDescent="0.25">
      <c r="A31" s="24"/>
      <c r="B31" s="252" t="s">
        <v>165</v>
      </c>
      <c r="C31" s="253"/>
      <c r="D31" s="246" t="s">
        <v>166</v>
      </c>
      <c r="E31" s="254">
        <v>143159485</v>
      </c>
    </row>
    <row r="32" spans="1:10" ht="19.5" customHeight="1" x14ac:dyDescent="0.25">
      <c r="A32" s="24"/>
      <c r="B32" s="255" t="s">
        <v>167</v>
      </c>
      <c r="C32" s="256"/>
      <c r="D32" s="257" t="s">
        <v>168</v>
      </c>
      <c r="E32" s="258">
        <f>+E33+E34</f>
        <v>208634323</v>
      </c>
    </row>
    <row r="33" spans="1:5" ht="19.5" customHeight="1" x14ac:dyDescent="0.25">
      <c r="A33" s="24"/>
      <c r="B33" s="252" t="s">
        <v>169</v>
      </c>
      <c r="C33" s="253"/>
      <c r="D33" s="246" t="s">
        <v>65</v>
      </c>
      <c r="E33" s="254">
        <v>191637788</v>
      </c>
    </row>
    <row r="34" spans="1:5" ht="19.5" customHeight="1" x14ac:dyDescent="0.25">
      <c r="A34" s="24"/>
      <c r="B34" s="252" t="s">
        <v>170</v>
      </c>
      <c r="C34" s="253"/>
      <c r="D34" s="246" t="s">
        <v>171</v>
      </c>
      <c r="E34" s="254">
        <v>16996535</v>
      </c>
    </row>
    <row r="35" spans="1:5" ht="19.5" customHeight="1" x14ac:dyDescent="0.25">
      <c r="A35" s="24"/>
      <c r="B35" s="252" t="s">
        <v>172</v>
      </c>
      <c r="C35" s="253"/>
      <c r="D35" s="246" t="s">
        <v>173</v>
      </c>
      <c r="E35" s="254">
        <v>74911367</v>
      </c>
    </row>
    <row r="36" spans="1:5" ht="19.5" customHeight="1" x14ac:dyDescent="0.25">
      <c r="A36" s="24"/>
      <c r="B36" s="252" t="s">
        <v>174</v>
      </c>
      <c r="C36" s="253"/>
      <c r="D36" s="246" t="s">
        <v>66</v>
      </c>
      <c r="E36" s="254">
        <v>8791677</v>
      </c>
    </row>
    <row r="37" spans="1:5" ht="19.5" customHeight="1" x14ac:dyDescent="0.25">
      <c r="A37" s="24"/>
      <c r="B37" s="252" t="s">
        <v>175</v>
      </c>
      <c r="C37" s="253"/>
      <c r="D37" s="246" t="s">
        <v>67</v>
      </c>
      <c r="E37" s="254">
        <v>56183525</v>
      </c>
    </row>
    <row r="38" spans="1:5" ht="19.5" customHeight="1" x14ac:dyDescent="0.25">
      <c r="A38" s="24"/>
      <c r="B38" s="252" t="s">
        <v>176</v>
      </c>
      <c r="C38" s="253"/>
      <c r="D38" s="246" t="s">
        <v>68</v>
      </c>
      <c r="E38" s="254">
        <v>37455684</v>
      </c>
    </row>
    <row r="39" spans="1:5" ht="19.5" customHeight="1" x14ac:dyDescent="0.2">
      <c r="A39" s="24"/>
      <c r="B39" s="248" t="s">
        <v>177</v>
      </c>
      <c r="C39" s="249"/>
      <c r="D39" s="250" t="s">
        <v>69</v>
      </c>
      <c r="E39" s="251">
        <f>+E40+E43</f>
        <v>255941011</v>
      </c>
    </row>
    <row r="40" spans="1:5" ht="19.5" customHeight="1" x14ac:dyDescent="0.2">
      <c r="A40" s="24"/>
      <c r="B40" s="248" t="s">
        <v>178</v>
      </c>
      <c r="C40" s="249"/>
      <c r="D40" s="250" t="s">
        <v>63</v>
      </c>
      <c r="E40" s="251">
        <f>+E41+E42</f>
        <v>46979071</v>
      </c>
    </row>
    <row r="41" spans="1:5" ht="19.5" customHeight="1" x14ac:dyDescent="0.25">
      <c r="A41" s="24"/>
      <c r="B41" s="252" t="s">
        <v>179</v>
      </c>
      <c r="C41" s="253"/>
      <c r="D41" s="246" t="s">
        <v>180</v>
      </c>
      <c r="E41" s="254">
        <v>38014534</v>
      </c>
    </row>
    <row r="42" spans="1:5" ht="19.5" customHeight="1" x14ac:dyDescent="0.25">
      <c r="A42" s="24"/>
      <c r="B42" s="252" t="s">
        <v>181</v>
      </c>
      <c r="C42" s="253"/>
      <c r="D42" s="246" t="s">
        <v>182</v>
      </c>
      <c r="E42" s="254">
        <v>8964537</v>
      </c>
    </row>
    <row r="43" spans="1:5" ht="19.5" customHeight="1" x14ac:dyDescent="0.25">
      <c r="A43" s="24"/>
      <c r="B43" s="255" t="s">
        <v>183</v>
      </c>
      <c r="C43" s="256"/>
      <c r="D43" s="257" t="s">
        <v>184</v>
      </c>
      <c r="E43" s="258">
        <f>SUM(E44:E47)</f>
        <v>208961940</v>
      </c>
    </row>
    <row r="44" spans="1:5" ht="19.5" customHeight="1" x14ac:dyDescent="0.25">
      <c r="A44" s="24"/>
      <c r="B44" s="252" t="s">
        <v>185</v>
      </c>
      <c r="C44" s="253"/>
      <c r="D44" s="246" t="s">
        <v>70</v>
      </c>
      <c r="E44" s="254">
        <v>106713180</v>
      </c>
    </row>
    <row r="45" spans="1:5" ht="19.5" customHeight="1" x14ac:dyDescent="0.25">
      <c r="A45" s="24"/>
      <c r="B45" s="252" t="s">
        <v>186</v>
      </c>
      <c r="C45" s="253"/>
      <c r="D45" s="246" t="s">
        <v>71</v>
      </c>
      <c r="E45" s="254">
        <v>21052260</v>
      </c>
    </row>
    <row r="46" spans="1:5" ht="19.5" customHeight="1" x14ac:dyDescent="0.25">
      <c r="A46" s="24"/>
      <c r="B46" s="252" t="s">
        <v>187</v>
      </c>
      <c r="C46" s="253"/>
      <c r="D46" s="246" t="s">
        <v>188</v>
      </c>
      <c r="E46" s="254">
        <v>64546500</v>
      </c>
    </row>
    <row r="47" spans="1:5" ht="19.5" customHeight="1" x14ac:dyDescent="0.25">
      <c r="A47" s="24"/>
      <c r="B47" s="252" t="s">
        <v>189</v>
      </c>
      <c r="C47" s="253"/>
      <c r="D47" s="246" t="s">
        <v>190</v>
      </c>
      <c r="E47" s="254">
        <v>16650000</v>
      </c>
    </row>
    <row r="48" spans="1:5" ht="19.5" customHeight="1" x14ac:dyDescent="0.2">
      <c r="A48" s="24"/>
      <c r="B48" s="248" t="s">
        <v>191</v>
      </c>
      <c r="C48" s="249"/>
      <c r="D48" s="250" t="s">
        <v>192</v>
      </c>
      <c r="E48" s="251">
        <f>E49+E54</f>
        <v>4076182505</v>
      </c>
    </row>
    <row r="49" spans="1:5" ht="19.5" customHeight="1" x14ac:dyDescent="0.25">
      <c r="A49" s="24"/>
      <c r="B49" s="259" t="s">
        <v>193</v>
      </c>
      <c r="C49" s="260"/>
      <c r="D49" s="261" t="s">
        <v>194</v>
      </c>
      <c r="E49" s="262">
        <f>E53</f>
        <v>60000000</v>
      </c>
    </row>
    <row r="50" spans="1:5" ht="19.5" customHeight="1" x14ac:dyDescent="0.25">
      <c r="A50" s="24"/>
      <c r="B50" s="259" t="s">
        <v>195</v>
      </c>
      <c r="C50" s="260"/>
      <c r="D50" s="261" t="s">
        <v>196</v>
      </c>
      <c r="E50" s="262">
        <f>E53</f>
        <v>60000000</v>
      </c>
    </row>
    <row r="51" spans="1:5" ht="19.5" customHeight="1" x14ac:dyDescent="0.25">
      <c r="A51" s="24"/>
      <c r="B51" s="259" t="s">
        <v>197</v>
      </c>
      <c r="C51" s="260"/>
      <c r="D51" s="261" t="s">
        <v>198</v>
      </c>
      <c r="E51" s="262">
        <f>E53</f>
        <v>60000000</v>
      </c>
    </row>
    <row r="52" spans="1:5" ht="19.5" customHeight="1" x14ac:dyDescent="0.25">
      <c r="A52" s="24"/>
      <c r="B52" s="259" t="s">
        <v>199</v>
      </c>
      <c r="C52" s="260"/>
      <c r="D52" s="261" t="s">
        <v>200</v>
      </c>
      <c r="E52" s="262">
        <f>E53</f>
        <v>60000000</v>
      </c>
    </row>
    <row r="53" spans="1:5" ht="19.5" customHeight="1" x14ac:dyDescent="0.25">
      <c r="A53" s="24"/>
      <c r="B53" s="263" t="s">
        <v>201</v>
      </c>
      <c r="C53" s="264"/>
      <c r="D53" s="265" t="s">
        <v>202</v>
      </c>
      <c r="E53" s="266">
        <v>60000000</v>
      </c>
    </row>
    <row r="54" spans="1:5" ht="19.5" customHeight="1" x14ac:dyDescent="0.25">
      <c r="A54" s="24"/>
      <c r="B54" s="259" t="s">
        <v>203</v>
      </c>
      <c r="C54" s="260"/>
      <c r="D54" s="261" t="s">
        <v>204</v>
      </c>
      <c r="E54" s="262">
        <f>E55+E65</f>
        <v>4016182505</v>
      </c>
    </row>
    <row r="55" spans="1:5" ht="19.5" customHeight="1" x14ac:dyDescent="0.25">
      <c r="A55" s="24"/>
      <c r="B55" s="259" t="s">
        <v>205</v>
      </c>
      <c r="C55" s="260"/>
      <c r="D55" s="261" t="s">
        <v>206</v>
      </c>
      <c r="E55" s="262">
        <f>E56+E58</f>
        <v>242182000</v>
      </c>
    </row>
    <row r="56" spans="1:5" ht="19.5" customHeight="1" x14ac:dyDescent="0.25">
      <c r="A56" s="24"/>
      <c r="B56" s="267" t="s">
        <v>207</v>
      </c>
      <c r="C56" s="268"/>
      <c r="D56" s="269" t="s">
        <v>208</v>
      </c>
      <c r="E56" s="262">
        <f>E57</f>
        <v>25000000</v>
      </c>
    </row>
    <row r="57" spans="1:5" ht="19.5" customHeight="1" x14ac:dyDescent="0.25">
      <c r="A57" s="24"/>
      <c r="B57" s="270" t="s">
        <v>209</v>
      </c>
      <c r="C57" s="271"/>
      <c r="D57" s="272" t="s">
        <v>72</v>
      </c>
      <c r="E57" s="266">
        <v>25000000</v>
      </c>
    </row>
    <row r="58" spans="1:5" ht="19.5" customHeight="1" x14ac:dyDescent="0.25">
      <c r="A58" s="24"/>
      <c r="B58" s="267" t="s">
        <v>210</v>
      </c>
      <c r="C58" s="268"/>
      <c r="D58" s="269" t="s">
        <v>211</v>
      </c>
      <c r="E58" s="262">
        <f>E59+E60+E61+E62+E63+E64</f>
        <v>217182000</v>
      </c>
    </row>
    <row r="59" spans="1:5" ht="19.5" customHeight="1" x14ac:dyDescent="0.25">
      <c r="A59" s="24"/>
      <c r="B59" s="270" t="s">
        <v>212</v>
      </c>
      <c r="C59" s="271"/>
      <c r="D59" s="272" t="s">
        <v>213</v>
      </c>
      <c r="E59" s="266">
        <v>21200000</v>
      </c>
    </row>
    <row r="60" spans="1:5" ht="19.5" customHeight="1" x14ac:dyDescent="0.25">
      <c r="A60" s="24"/>
      <c r="B60" s="270" t="s">
        <v>214</v>
      </c>
      <c r="C60" s="271"/>
      <c r="D60" s="272" t="s">
        <v>73</v>
      </c>
      <c r="E60" s="266">
        <v>15900000</v>
      </c>
    </row>
    <row r="61" spans="1:5" ht="19.5" customHeight="1" x14ac:dyDescent="0.25">
      <c r="A61" s="24"/>
      <c r="B61" s="270" t="s">
        <v>215</v>
      </c>
      <c r="C61" s="271"/>
      <c r="D61" s="272" t="s">
        <v>216</v>
      </c>
      <c r="E61" s="266">
        <v>71020000</v>
      </c>
    </row>
    <row r="62" spans="1:5" ht="19.5" customHeight="1" x14ac:dyDescent="0.25">
      <c r="A62" s="24"/>
      <c r="B62" s="270" t="s">
        <v>217</v>
      </c>
      <c r="C62" s="271"/>
      <c r="D62" s="272" t="s">
        <v>74</v>
      </c>
      <c r="E62" s="266">
        <v>34662000</v>
      </c>
    </row>
    <row r="63" spans="1:5" ht="19.5" customHeight="1" x14ac:dyDescent="0.25">
      <c r="A63" s="24"/>
      <c r="B63" s="270" t="s">
        <v>218</v>
      </c>
      <c r="C63" s="271"/>
      <c r="D63" s="272" t="s">
        <v>219</v>
      </c>
      <c r="E63" s="266">
        <v>32000000</v>
      </c>
    </row>
    <row r="64" spans="1:5" ht="19.5" customHeight="1" x14ac:dyDescent="0.25">
      <c r="A64" s="24"/>
      <c r="B64" s="270" t="s">
        <v>220</v>
      </c>
      <c r="C64" s="271"/>
      <c r="D64" s="272" t="s">
        <v>221</v>
      </c>
      <c r="E64" s="266">
        <v>42400000</v>
      </c>
    </row>
    <row r="65" spans="1:5" ht="19.5" customHeight="1" x14ac:dyDescent="0.25">
      <c r="A65" s="24"/>
      <c r="B65" s="259" t="s">
        <v>222</v>
      </c>
      <c r="C65" s="260"/>
      <c r="D65" s="261" t="s">
        <v>223</v>
      </c>
      <c r="E65" s="273">
        <f>E66+E70+E76</f>
        <v>3774000505</v>
      </c>
    </row>
    <row r="66" spans="1:5" ht="19.5" customHeight="1" x14ac:dyDescent="0.25">
      <c r="A66" s="24"/>
      <c r="B66" s="267" t="s">
        <v>224</v>
      </c>
      <c r="C66" s="268"/>
      <c r="D66" s="274" t="s">
        <v>225</v>
      </c>
      <c r="E66" s="262">
        <f>E67+E68+E69</f>
        <v>142497252</v>
      </c>
    </row>
    <row r="67" spans="1:5" ht="19.5" customHeight="1" x14ac:dyDescent="0.25">
      <c r="A67" s="24"/>
      <c r="B67" s="270" t="s">
        <v>226</v>
      </c>
      <c r="C67" s="271"/>
      <c r="D67" s="275" t="s">
        <v>227</v>
      </c>
      <c r="E67" s="266">
        <v>3180000</v>
      </c>
    </row>
    <row r="68" spans="1:5" ht="19.5" customHeight="1" x14ac:dyDescent="0.25">
      <c r="A68" s="24"/>
      <c r="B68" s="270" t="s">
        <v>228</v>
      </c>
      <c r="C68" s="271"/>
      <c r="D68" s="275" t="s">
        <v>229</v>
      </c>
      <c r="E68" s="266">
        <v>134547252</v>
      </c>
    </row>
    <row r="69" spans="1:5" ht="19.5" customHeight="1" x14ac:dyDescent="0.25">
      <c r="A69" s="24"/>
      <c r="B69" s="270" t="s">
        <v>230</v>
      </c>
      <c r="C69" s="271"/>
      <c r="D69" s="275" t="s">
        <v>231</v>
      </c>
      <c r="E69" s="266">
        <v>4770000</v>
      </c>
    </row>
    <row r="70" spans="1:5" ht="19.5" customHeight="1" x14ac:dyDescent="0.25">
      <c r="A70" s="24"/>
      <c r="B70" s="267" t="s">
        <v>232</v>
      </c>
      <c r="C70" s="268"/>
      <c r="D70" s="274" t="s">
        <v>233</v>
      </c>
      <c r="E70" s="262">
        <f>E71+E72+E73+E74+E75</f>
        <v>2540241453</v>
      </c>
    </row>
    <row r="71" spans="1:5" ht="19.5" customHeight="1" x14ac:dyDescent="0.25">
      <c r="A71" s="24"/>
      <c r="B71" s="270" t="s">
        <v>234</v>
      </c>
      <c r="C71" s="271"/>
      <c r="D71" s="275" t="s">
        <v>235</v>
      </c>
      <c r="E71" s="266">
        <v>426756000</v>
      </c>
    </row>
    <row r="72" spans="1:5" ht="19.5" customHeight="1" x14ac:dyDescent="0.25">
      <c r="A72" s="24"/>
      <c r="B72" s="270" t="s">
        <v>236</v>
      </c>
      <c r="C72" s="271"/>
      <c r="D72" s="275" t="s">
        <v>237</v>
      </c>
      <c r="E72" s="266">
        <v>25250790</v>
      </c>
    </row>
    <row r="73" spans="1:5" ht="19.5" customHeight="1" x14ac:dyDescent="0.25">
      <c r="A73" s="24"/>
      <c r="B73" s="270" t="s">
        <v>238</v>
      </c>
      <c r="C73" s="271"/>
      <c r="D73" s="275" t="s">
        <v>239</v>
      </c>
      <c r="E73" s="266">
        <v>79500000</v>
      </c>
    </row>
    <row r="74" spans="1:5" ht="19.5" customHeight="1" x14ac:dyDescent="0.25">
      <c r="A74" s="24"/>
      <c r="B74" s="270" t="s">
        <v>240</v>
      </c>
      <c r="C74" s="271"/>
      <c r="D74" s="275" t="s">
        <v>241</v>
      </c>
      <c r="E74" s="266">
        <v>1968734663</v>
      </c>
    </row>
    <row r="75" spans="1:5" ht="19.5" customHeight="1" x14ac:dyDescent="0.25">
      <c r="A75" s="24"/>
      <c r="B75" s="270" t="s">
        <v>242</v>
      </c>
      <c r="C75" s="271"/>
      <c r="D75" s="275" t="s">
        <v>75</v>
      </c>
      <c r="E75" s="266">
        <v>40000000</v>
      </c>
    </row>
    <row r="76" spans="1:5" ht="19.5" customHeight="1" x14ac:dyDescent="0.25">
      <c r="A76" s="24"/>
      <c r="B76" s="259" t="s">
        <v>243</v>
      </c>
      <c r="C76" s="260"/>
      <c r="D76" s="276" t="s">
        <v>244</v>
      </c>
      <c r="E76" s="262">
        <f>E77+E78+E79+E80+E81+E82+E83+E84+E85</f>
        <v>1091261800</v>
      </c>
    </row>
    <row r="77" spans="1:5" ht="19.5" customHeight="1" x14ac:dyDescent="0.25">
      <c r="A77" s="24"/>
      <c r="B77" s="263" t="s">
        <v>245</v>
      </c>
      <c r="C77" s="264"/>
      <c r="D77" s="265" t="s">
        <v>246</v>
      </c>
      <c r="E77" s="266">
        <v>525230000</v>
      </c>
    </row>
    <row r="78" spans="1:5" ht="19.5" customHeight="1" x14ac:dyDescent="0.25">
      <c r="A78" s="24"/>
      <c r="B78" s="263" t="s">
        <v>247</v>
      </c>
      <c r="C78" s="264"/>
      <c r="D78" s="265" t="s">
        <v>248</v>
      </c>
      <c r="E78" s="266">
        <v>154700000</v>
      </c>
    </row>
    <row r="79" spans="1:5" ht="19.5" customHeight="1" x14ac:dyDescent="0.25">
      <c r="A79" s="24"/>
      <c r="B79" s="263" t="s">
        <v>249</v>
      </c>
      <c r="C79" s="264"/>
      <c r="D79" s="265" t="s">
        <v>250</v>
      </c>
      <c r="E79" s="266">
        <v>3180000</v>
      </c>
    </row>
    <row r="80" spans="1:5" ht="19.5" customHeight="1" x14ac:dyDescent="0.25">
      <c r="A80" s="24"/>
      <c r="B80" s="263" t="s">
        <v>251</v>
      </c>
      <c r="C80" s="264"/>
      <c r="D80" s="265" t="s">
        <v>252</v>
      </c>
      <c r="E80" s="266">
        <v>120000000</v>
      </c>
    </row>
    <row r="81" spans="1:5" ht="19.5" customHeight="1" x14ac:dyDescent="0.25">
      <c r="A81" s="24"/>
      <c r="B81" s="263" t="s">
        <v>253</v>
      </c>
      <c r="C81" s="264"/>
      <c r="D81" s="265" t="s">
        <v>254</v>
      </c>
      <c r="E81" s="266">
        <v>42400000</v>
      </c>
    </row>
    <row r="82" spans="1:5" ht="19.5" customHeight="1" x14ac:dyDescent="0.25">
      <c r="A82" s="24"/>
      <c r="B82" s="263" t="s">
        <v>255</v>
      </c>
      <c r="C82" s="264"/>
      <c r="D82" s="265" t="s">
        <v>256</v>
      </c>
      <c r="E82" s="266">
        <v>139641800</v>
      </c>
    </row>
    <row r="83" spans="1:5" ht="19.5" customHeight="1" x14ac:dyDescent="0.25">
      <c r="A83" s="24"/>
      <c r="B83" s="263" t="s">
        <v>257</v>
      </c>
      <c r="C83" s="264"/>
      <c r="D83" s="265" t="s">
        <v>258</v>
      </c>
      <c r="E83" s="266">
        <v>37100000</v>
      </c>
    </row>
    <row r="84" spans="1:5" ht="19.5" customHeight="1" x14ac:dyDescent="0.25">
      <c r="A84" s="24"/>
      <c r="B84" s="263" t="s">
        <v>259</v>
      </c>
      <c r="C84" s="264"/>
      <c r="D84" s="265" t="s">
        <v>76</v>
      </c>
      <c r="E84" s="266">
        <v>60000000</v>
      </c>
    </row>
    <row r="85" spans="1:5" ht="19.5" customHeight="1" x14ac:dyDescent="0.25">
      <c r="A85" s="24"/>
      <c r="B85" s="263" t="s">
        <v>260</v>
      </c>
      <c r="C85" s="264"/>
      <c r="D85" s="265" t="s">
        <v>261</v>
      </c>
      <c r="E85" s="266">
        <v>9010000</v>
      </c>
    </row>
    <row r="86" spans="1:5" ht="19.5" customHeight="1" x14ac:dyDescent="0.25">
      <c r="A86" s="24"/>
      <c r="B86" s="259" t="s">
        <v>262</v>
      </c>
      <c r="C86" s="260"/>
      <c r="D86" s="276" t="s">
        <v>263</v>
      </c>
      <c r="E86" s="277">
        <f>E87+E90</f>
        <v>283423330</v>
      </c>
    </row>
    <row r="87" spans="1:5" ht="19.5" customHeight="1" x14ac:dyDescent="0.25">
      <c r="A87" s="24"/>
      <c r="B87" s="259" t="s">
        <v>264</v>
      </c>
      <c r="C87" s="260"/>
      <c r="D87" s="276" t="s">
        <v>265</v>
      </c>
      <c r="E87" s="277">
        <f>E89</f>
        <v>2523330</v>
      </c>
    </row>
    <row r="88" spans="1:5" ht="19.5" customHeight="1" x14ac:dyDescent="0.25">
      <c r="A88" s="24"/>
      <c r="B88" s="259" t="s">
        <v>266</v>
      </c>
      <c r="C88" s="260"/>
      <c r="D88" s="276" t="s">
        <v>267</v>
      </c>
      <c r="E88" s="277">
        <f>E89</f>
        <v>2523330</v>
      </c>
    </row>
    <row r="89" spans="1:5" ht="19.5" customHeight="1" x14ac:dyDescent="0.25">
      <c r="A89" s="24"/>
      <c r="B89" s="263" t="s">
        <v>268</v>
      </c>
      <c r="C89" s="264"/>
      <c r="D89" s="265" t="s">
        <v>77</v>
      </c>
      <c r="E89" s="278">
        <v>2523330</v>
      </c>
    </row>
    <row r="90" spans="1:5" ht="19.5" customHeight="1" x14ac:dyDescent="0.25">
      <c r="A90" s="24"/>
      <c r="B90" s="259" t="s">
        <v>269</v>
      </c>
      <c r="C90" s="260"/>
      <c r="D90" s="276" t="s">
        <v>270</v>
      </c>
      <c r="E90" s="277">
        <f>E92+E93</f>
        <v>280900000</v>
      </c>
    </row>
    <row r="91" spans="1:5" ht="19.5" customHeight="1" x14ac:dyDescent="0.25">
      <c r="A91" s="24"/>
      <c r="B91" s="259" t="s">
        <v>271</v>
      </c>
      <c r="C91" s="260"/>
      <c r="D91" s="276" t="s">
        <v>78</v>
      </c>
      <c r="E91" s="277">
        <f>E92+E93</f>
        <v>280900000</v>
      </c>
    </row>
    <row r="92" spans="1:5" ht="19.5" customHeight="1" x14ac:dyDescent="0.25">
      <c r="A92" s="24"/>
      <c r="B92" s="263" t="s">
        <v>272</v>
      </c>
      <c r="C92" s="264"/>
      <c r="D92" s="265" t="s">
        <v>79</v>
      </c>
      <c r="E92" s="279">
        <v>265000000</v>
      </c>
    </row>
    <row r="93" spans="1:5" ht="19.5" customHeight="1" x14ac:dyDescent="0.25">
      <c r="A93" s="24"/>
      <c r="B93" s="263" t="s">
        <v>273</v>
      </c>
      <c r="C93" s="264"/>
      <c r="D93" s="265" t="s">
        <v>80</v>
      </c>
      <c r="E93" s="279">
        <v>15900000</v>
      </c>
    </row>
    <row r="94" spans="1:5" ht="19.5" customHeight="1" x14ac:dyDescent="0.25">
      <c r="A94" s="24"/>
      <c r="B94" s="259" t="s">
        <v>274</v>
      </c>
      <c r="C94" s="260"/>
      <c r="D94" s="276" t="s">
        <v>275</v>
      </c>
      <c r="E94" s="277">
        <f>E95+E97</f>
        <v>183271350</v>
      </c>
    </row>
    <row r="95" spans="1:5" ht="19.5" customHeight="1" x14ac:dyDescent="0.25">
      <c r="A95" s="24"/>
      <c r="B95" s="259" t="s">
        <v>276</v>
      </c>
      <c r="C95" s="260"/>
      <c r="D95" s="276" t="s">
        <v>81</v>
      </c>
      <c r="E95" s="277">
        <f>E96</f>
        <v>168431350</v>
      </c>
    </row>
    <row r="96" spans="1:5" ht="19.5" customHeight="1" x14ac:dyDescent="0.25">
      <c r="A96" s="24"/>
      <c r="B96" s="263" t="s">
        <v>277</v>
      </c>
      <c r="C96" s="264"/>
      <c r="D96" s="265" t="s">
        <v>128</v>
      </c>
      <c r="E96" s="278">
        <v>168431350</v>
      </c>
    </row>
    <row r="97" spans="1:5" ht="19.5" customHeight="1" x14ac:dyDescent="0.25">
      <c r="A97" s="24"/>
      <c r="B97" s="259" t="s">
        <v>278</v>
      </c>
      <c r="C97" s="260"/>
      <c r="D97" s="276" t="s">
        <v>279</v>
      </c>
      <c r="E97" s="277">
        <f>E98</f>
        <v>14840000</v>
      </c>
    </row>
    <row r="98" spans="1:5" ht="19.5" customHeight="1" x14ac:dyDescent="0.25">
      <c r="A98" s="24"/>
      <c r="B98" s="263" t="s">
        <v>280</v>
      </c>
      <c r="C98" s="264"/>
      <c r="D98" s="265" t="s">
        <v>281</v>
      </c>
      <c r="E98" s="278">
        <v>14840000</v>
      </c>
    </row>
    <row r="99" spans="1:5" ht="19.5" customHeight="1" thickBot="1" x14ac:dyDescent="0.3">
      <c r="A99" s="24"/>
      <c r="B99" s="280"/>
      <c r="C99" s="281"/>
      <c r="D99" s="282"/>
      <c r="E99" s="283"/>
    </row>
    <row r="100" spans="1:5" ht="19.5" customHeight="1" thickBot="1" x14ac:dyDescent="0.3">
      <c r="A100" s="24"/>
      <c r="B100" s="284" t="s">
        <v>18</v>
      </c>
      <c r="C100" s="285"/>
      <c r="D100" s="286"/>
      <c r="E100" s="287">
        <f>E13</f>
        <v>7555228867</v>
      </c>
    </row>
    <row r="101" spans="1:5" ht="19.5" customHeight="1" x14ac:dyDescent="0.25">
      <c r="A101" s="24"/>
      <c r="B101" s="288"/>
      <c r="C101" s="289"/>
      <c r="D101" s="290"/>
      <c r="E101" s="291"/>
    </row>
    <row r="102" spans="1:5" ht="18" x14ac:dyDescent="0.25">
      <c r="A102" s="24"/>
      <c r="B102" s="292"/>
      <c r="C102" s="398"/>
      <c r="D102" s="399"/>
      <c r="E102" s="293"/>
    </row>
    <row r="103" spans="1:5" ht="18" x14ac:dyDescent="0.25">
      <c r="B103" s="294"/>
      <c r="C103" s="400"/>
      <c r="D103" s="399"/>
      <c r="E103" s="293"/>
    </row>
    <row r="104" spans="1:5" ht="18.75" thickBot="1" x14ac:dyDescent="0.3">
      <c r="B104" s="190"/>
      <c r="C104" s="295"/>
      <c r="D104" s="399"/>
      <c r="E104" s="401"/>
    </row>
    <row r="105" spans="1:5" ht="18" x14ac:dyDescent="0.25">
      <c r="B105" s="296" t="s">
        <v>302</v>
      </c>
      <c r="C105" s="402"/>
      <c r="D105" s="403"/>
      <c r="E105" s="297"/>
    </row>
    <row r="106" spans="1:5" ht="18.75" thickBot="1" x14ac:dyDescent="0.3">
      <c r="B106" s="298" t="s">
        <v>303</v>
      </c>
      <c r="C106" s="299"/>
      <c r="D106" s="300"/>
      <c r="E106" s="301"/>
    </row>
  </sheetData>
  <mergeCells count="16">
    <mergeCell ref="H12:J12"/>
    <mergeCell ref="H13:J13"/>
    <mergeCell ref="G24:H24"/>
    <mergeCell ref="D11:E11"/>
    <mergeCell ref="G1:J6"/>
    <mergeCell ref="G7:J7"/>
    <mergeCell ref="G8:J8"/>
    <mergeCell ref="G9:J9"/>
    <mergeCell ref="G10:J10"/>
    <mergeCell ref="G11:J11"/>
    <mergeCell ref="B1:E5"/>
    <mergeCell ref="B6:E6"/>
    <mergeCell ref="B7:E7"/>
    <mergeCell ref="B8:E8"/>
    <mergeCell ref="B9:E9"/>
    <mergeCell ref="D10:E10"/>
  </mergeCells>
  <phoneticPr fontId="10" type="noConversion"/>
  <pageMargins left="0.47244094488188981" right="0.11811023622047245" top="0.59055118110236227" bottom="0.47244094488188981" header="0.55118110236220474" footer="0"/>
  <pageSetup paperSize="5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7"/>
  <sheetViews>
    <sheetView topLeftCell="B1" zoomScale="96" zoomScaleNormal="96" workbookViewId="0">
      <selection activeCell="M27" sqref="M27"/>
    </sheetView>
  </sheetViews>
  <sheetFormatPr baseColWidth="10" defaultColWidth="11.42578125" defaultRowHeight="12.75" x14ac:dyDescent="0.2"/>
  <cols>
    <col min="1" max="1" width="0.7109375" style="47" hidden="1" customWidth="1"/>
    <col min="2" max="2" width="47" style="47" customWidth="1"/>
    <col min="3" max="3" width="23.7109375" style="47" customWidth="1"/>
    <col min="4" max="5" width="20.7109375" style="47" customWidth="1"/>
    <col min="6" max="6" width="22.7109375" style="47" customWidth="1"/>
    <col min="7" max="7" width="1.7109375" style="47" customWidth="1"/>
    <col min="8" max="8" width="15.85546875" style="47" customWidth="1"/>
    <col min="9" max="9" width="16.28515625" style="47" customWidth="1"/>
    <col min="10" max="10" width="7.28515625" style="47" hidden="1" customWidth="1"/>
    <col min="11" max="11" width="26.85546875" style="47" customWidth="1"/>
    <col min="12" max="16384" width="11.42578125" style="47"/>
  </cols>
  <sheetData>
    <row r="1" spans="1:12" ht="13.5" thickBot="1" x14ac:dyDescent="0.25">
      <c r="A1" s="58"/>
      <c r="B1" s="58"/>
      <c r="C1" s="59"/>
      <c r="D1" s="59"/>
      <c r="E1" s="59"/>
      <c r="F1" s="60"/>
      <c r="G1" s="60"/>
      <c r="H1" s="28"/>
      <c r="I1" s="28"/>
      <c r="J1" s="59"/>
      <c r="K1" s="28"/>
      <c r="L1" s="28"/>
    </row>
    <row r="2" spans="1:12" ht="29.25" customHeight="1" thickBot="1" x14ac:dyDescent="0.25">
      <c r="A2" s="61"/>
      <c r="B2" s="61"/>
      <c r="C2" s="28"/>
      <c r="D2" s="28"/>
      <c r="E2" s="28"/>
      <c r="F2" s="62"/>
      <c r="G2" s="62"/>
      <c r="H2" s="28"/>
      <c r="I2" s="28"/>
      <c r="J2" s="59"/>
      <c r="K2" s="28"/>
      <c r="L2" s="28"/>
    </row>
    <row r="3" spans="1:12" x14ac:dyDescent="0.2">
      <c r="A3" s="61"/>
      <c r="B3" s="53" t="s">
        <v>329</v>
      </c>
      <c r="C3" s="54"/>
      <c r="D3" s="54"/>
      <c r="E3" s="54"/>
      <c r="F3" s="63"/>
      <c r="G3" s="64"/>
      <c r="H3" s="65"/>
      <c r="I3" s="28"/>
      <c r="J3" s="28"/>
      <c r="K3" s="28"/>
      <c r="L3" s="28"/>
    </row>
    <row r="4" spans="1:12" ht="13.5" thickBot="1" x14ac:dyDescent="0.25">
      <c r="A4" s="61"/>
      <c r="B4" s="66" t="s">
        <v>304</v>
      </c>
      <c r="C4" s="25"/>
      <c r="D4" s="25"/>
      <c r="E4" s="25"/>
      <c r="F4" s="62"/>
      <c r="G4" s="62"/>
      <c r="H4" s="28"/>
      <c r="I4" s="28"/>
      <c r="J4" s="28"/>
      <c r="K4" s="28"/>
      <c r="L4" s="28"/>
    </row>
    <row r="5" spans="1:12" ht="13.5" thickBot="1" x14ac:dyDescent="0.25">
      <c r="A5" s="61"/>
      <c r="B5" s="67" t="s">
        <v>19</v>
      </c>
      <c r="C5" s="68" t="s">
        <v>20</v>
      </c>
      <c r="D5" s="68" t="s">
        <v>339</v>
      </c>
      <c r="E5" s="68" t="s">
        <v>344</v>
      </c>
      <c r="F5" s="207" t="s">
        <v>21</v>
      </c>
      <c r="G5" s="62"/>
      <c r="H5" s="28"/>
      <c r="I5" s="28"/>
      <c r="J5" s="28"/>
      <c r="K5" s="69"/>
      <c r="L5" s="69"/>
    </row>
    <row r="6" spans="1:12" x14ac:dyDescent="0.2">
      <c r="A6" s="61"/>
      <c r="B6" s="199" t="s">
        <v>22</v>
      </c>
      <c r="C6" s="147"/>
      <c r="D6" s="147"/>
      <c r="E6" s="147"/>
      <c r="F6" s="208"/>
      <c r="G6" s="62"/>
      <c r="H6" s="28"/>
      <c r="I6" s="28"/>
      <c r="J6" s="28"/>
      <c r="K6" s="28"/>
      <c r="L6" s="28"/>
    </row>
    <row r="7" spans="1:12" x14ac:dyDescent="0.2">
      <c r="A7" s="61"/>
      <c r="B7" s="200" t="s">
        <v>55</v>
      </c>
      <c r="C7" s="148"/>
      <c r="D7" s="148"/>
      <c r="E7" s="148"/>
      <c r="F7" s="209"/>
      <c r="G7" s="62"/>
      <c r="H7" s="28"/>
      <c r="I7" s="28"/>
      <c r="J7" s="28"/>
      <c r="K7" s="28"/>
      <c r="L7" s="28"/>
    </row>
    <row r="8" spans="1:12" x14ac:dyDescent="0.2">
      <c r="A8" s="61"/>
      <c r="B8" s="144" t="s">
        <v>56</v>
      </c>
      <c r="C8" s="149">
        <v>199736115</v>
      </c>
      <c r="D8" s="149">
        <v>291264437</v>
      </c>
      <c r="E8" s="149">
        <v>203724794</v>
      </c>
      <c r="F8" s="210">
        <f>SUM(C8:E8)</f>
        <v>694725346</v>
      </c>
      <c r="G8" s="62"/>
      <c r="H8" s="55"/>
      <c r="I8" s="146"/>
      <c r="J8" s="28"/>
      <c r="K8" s="55"/>
      <c r="L8" s="55"/>
    </row>
    <row r="9" spans="1:12" ht="14.25" customHeight="1" x14ac:dyDescent="0.25">
      <c r="A9" s="61"/>
      <c r="B9" s="144" t="s">
        <v>82</v>
      </c>
      <c r="C9" s="149">
        <v>3822652</v>
      </c>
      <c r="D9" s="149">
        <v>3514564</v>
      </c>
      <c r="E9" s="149">
        <v>1379510</v>
      </c>
      <c r="F9" s="210">
        <f>SUM(C9:E9)</f>
        <v>8716726</v>
      </c>
      <c r="G9" s="48"/>
      <c r="H9" s="55"/>
      <c r="I9" s="146"/>
      <c r="J9" s="28"/>
      <c r="K9" s="55"/>
      <c r="L9" s="55"/>
    </row>
    <row r="10" spans="1:12" ht="13.5" thickBot="1" x14ac:dyDescent="0.25">
      <c r="A10" s="61"/>
      <c r="B10" s="144" t="s">
        <v>57</v>
      </c>
      <c r="C10" s="149">
        <v>94656774.790000007</v>
      </c>
      <c r="D10" s="149">
        <v>94343205.480000004</v>
      </c>
      <c r="E10" s="149">
        <v>70408695.280000001</v>
      </c>
      <c r="F10" s="210">
        <f>SUM(C10:E10)</f>
        <v>259408675.55000001</v>
      </c>
      <c r="G10" s="70"/>
      <c r="H10" s="55"/>
      <c r="I10" s="146"/>
      <c r="J10" s="28"/>
      <c r="K10" s="55"/>
      <c r="L10" s="55"/>
    </row>
    <row r="11" spans="1:12" x14ac:dyDescent="0.2">
      <c r="A11" s="61"/>
      <c r="B11" s="199" t="s">
        <v>58</v>
      </c>
      <c r="C11" s="150"/>
      <c r="D11" s="150"/>
      <c r="E11" s="150"/>
      <c r="F11" s="211"/>
      <c r="G11" s="70"/>
      <c r="H11" s="28"/>
      <c r="I11" s="28"/>
      <c r="J11" s="28"/>
      <c r="K11" s="55"/>
      <c r="L11" s="55"/>
    </row>
    <row r="12" spans="1:12" ht="13.5" thickBot="1" x14ac:dyDescent="0.25">
      <c r="A12" s="61"/>
      <c r="B12" s="145" t="s">
        <v>58</v>
      </c>
      <c r="C12" s="151">
        <v>34524898.799999997</v>
      </c>
      <c r="D12" s="151">
        <v>32604570</v>
      </c>
      <c r="E12" s="151">
        <v>30729470</v>
      </c>
      <c r="F12" s="210">
        <f>SUM(C12:E12)</f>
        <v>97858938.799999997</v>
      </c>
      <c r="G12" s="70"/>
      <c r="H12" s="55"/>
      <c r="I12" s="28"/>
      <c r="J12" s="28"/>
      <c r="K12" s="55"/>
      <c r="L12" s="55"/>
    </row>
    <row r="13" spans="1:12" ht="13.5" thickBot="1" x14ac:dyDescent="0.25">
      <c r="A13" s="61"/>
      <c r="B13" s="143" t="s">
        <v>23</v>
      </c>
      <c r="C13" s="198">
        <f t="shared" ref="C13:E13" si="0">SUM(C8:C12)</f>
        <v>332740440.59000003</v>
      </c>
      <c r="D13" s="198">
        <f t="shared" ref="D13" si="1">SUM(D8:D12)</f>
        <v>421726776.48000002</v>
      </c>
      <c r="E13" s="198">
        <f t="shared" si="0"/>
        <v>306242469.27999997</v>
      </c>
      <c r="F13" s="212">
        <f>SUM(F8:F12)</f>
        <v>1060709686.3499999</v>
      </c>
      <c r="G13" s="70"/>
      <c r="H13" s="55"/>
      <c r="I13" s="28"/>
      <c r="J13" s="28"/>
      <c r="K13" s="71"/>
      <c r="L13" s="71"/>
    </row>
    <row r="14" spans="1:12" x14ac:dyDescent="0.2">
      <c r="A14" s="61"/>
      <c r="B14" s="201"/>
      <c r="C14" s="205"/>
      <c r="D14" s="205"/>
      <c r="E14" s="205"/>
      <c r="F14" s="213"/>
      <c r="G14" s="62"/>
      <c r="H14" s="28"/>
      <c r="I14" s="28"/>
      <c r="J14" s="28"/>
      <c r="K14" s="28"/>
      <c r="L14" s="28"/>
    </row>
    <row r="15" spans="1:12" x14ac:dyDescent="0.2">
      <c r="A15" s="61"/>
      <c r="B15" s="200" t="s">
        <v>24</v>
      </c>
      <c r="C15" s="149"/>
      <c r="D15" s="149"/>
      <c r="E15" s="149"/>
      <c r="F15" s="214"/>
      <c r="G15" s="62"/>
      <c r="H15" s="28"/>
      <c r="I15" s="28"/>
      <c r="J15" s="28"/>
      <c r="K15" s="55"/>
      <c r="L15" s="55"/>
    </row>
    <row r="16" spans="1:12" ht="15" customHeight="1" x14ac:dyDescent="0.2">
      <c r="A16" s="61"/>
      <c r="B16" s="202" t="s">
        <v>25</v>
      </c>
      <c r="C16" s="149">
        <v>0</v>
      </c>
      <c r="D16" s="149">
        <v>0</v>
      </c>
      <c r="E16" s="149">
        <v>0</v>
      </c>
      <c r="F16" s="210">
        <f t="shared" ref="F16:F18" si="2">SUM(E16:E16)</f>
        <v>0</v>
      </c>
      <c r="G16" s="62"/>
      <c r="H16" s="28"/>
      <c r="I16" s="28"/>
      <c r="J16" s="28"/>
      <c r="K16" s="55"/>
      <c r="L16" s="55"/>
    </row>
    <row r="17" spans="1:12" x14ac:dyDescent="0.2">
      <c r="A17" s="61"/>
      <c r="B17" s="203" t="s">
        <v>26</v>
      </c>
      <c r="C17" s="149">
        <v>0</v>
      </c>
      <c r="D17" s="149">
        <v>0</v>
      </c>
      <c r="E17" s="149">
        <v>0</v>
      </c>
      <c r="F17" s="210">
        <f t="shared" si="2"/>
        <v>0</v>
      </c>
      <c r="G17" s="62"/>
      <c r="H17" s="28"/>
      <c r="I17" s="28"/>
      <c r="J17" s="28"/>
      <c r="K17" s="55"/>
      <c r="L17" s="55"/>
    </row>
    <row r="18" spans="1:12" ht="13.5" thickBot="1" x14ac:dyDescent="0.25">
      <c r="A18" s="61"/>
      <c r="B18" s="200" t="s">
        <v>27</v>
      </c>
      <c r="C18" s="206">
        <f t="shared" ref="C18:E18" si="3">SUM(C16:C17)</f>
        <v>0</v>
      </c>
      <c r="D18" s="206">
        <f t="shared" ref="D18" si="4">SUM(D16:D17)</f>
        <v>0</v>
      </c>
      <c r="E18" s="206">
        <f t="shared" si="3"/>
        <v>0</v>
      </c>
      <c r="F18" s="404">
        <f t="shared" si="2"/>
        <v>0</v>
      </c>
      <c r="G18" s="62"/>
      <c r="H18" s="28"/>
      <c r="I18" s="28"/>
      <c r="J18" s="28"/>
      <c r="K18" s="71"/>
      <c r="L18" s="71"/>
    </row>
    <row r="19" spans="1:12" ht="13.5" thickBot="1" x14ac:dyDescent="0.25">
      <c r="A19" s="61"/>
      <c r="B19" s="204" t="s">
        <v>28</v>
      </c>
      <c r="C19" s="198">
        <f t="shared" ref="C19:E19" si="5">C13+C18</f>
        <v>332740440.59000003</v>
      </c>
      <c r="D19" s="198">
        <f t="shared" ref="D19" si="6">D13+D18</f>
        <v>421726776.48000002</v>
      </c>
      <c r="E19" s="198">
        <f t="shared" si="5"/>
        <v>306242469.27999997</v>
      </c>
      <c r="F19" s="212">
        <f>SUM(C19:E19)</f>
        <v>1060709686.35</v>
      </c>
      <c r="G19" s="70"/>
      <c r="H19" s="327"/>
      <c r="I19" s="28"/>
      <c r="J19" s="28"/>
      <c r="K19" s="71"/>
      <c r="L19" s="71"/>
    </row>
    <row r="20" spans="1:12" ht="15" x14ac:dyDescent="0.2">
      <c r="A20" s="61"/>
      <c r="B20" s="49"/>
      <c r="C20" s="360"/>
      <c r="D20" s="360"/>
      <c r="E20" s="360"/>
      <c r="F20" s="50"/>
      <c r="G20" s="62"/>
      <c r="H20" s="28"/>
      <c r="I20" s="28"/>
      <c r="J20" s="28"/>
      <c r="K20" s="28"/>
      <c r="L20" s="28"/>
    </row>
    <row r="21" spans="1:12" ht="15" x14ac:dyDescent="0.2">
      <c r="A21" s="61"/>
      <c r="B21" s="49"/>
      <c r="C21" s="360"/>
      <c r="D21" s="360"/>
      <c r="E21" s="360"/>
      <c r="F21" s="51"/>
      <c r="G21" s="62"/>
      <c r="H21" s="28"/>
      <c r="I21" s="28"/>
      <c r="J21" s="28"/>
      <c r="K21" s="28"/>
      <c r="L21" s="28"/>
    </row>
    <row r="22" spans="1:12" ht="15" x14ac:dyDescent="0.2">
      <c r="A22" s="61"/>
      <c r="B22" s="49"/>
      <c r="C22" s="360"/>
      <c r="D22" s="360"/>
      <c r="E22" s="360"/>
      <c r="F22" s="77"/>
      <c r="G22" s="362"/>
      <c r="H22" s="28"/>
      <c r="I22" s="28"/>
      <c r="J22" s="28"/>
      <c r="K22" s="28"/>
      <c r="L22" s="28"/>
    </row>
    <row r="23" spans="1:12" ht="13.5" thickBot="1" x14ac:dyDescent="0.25">
      <c r="A23" s="61"/>
      <c r="B23" s="190"/>
      <c r="C23" s="418"/>
      <c r="D23" s="418"/>
      <c r="E23" s="14"/>
      <c r="F23" s="424"/>
      <c r="G23" s="363"/>
      <c r="H23" s="25"/>
      <c r="I23" s="28"/>
      <c r="J23" s="28"/>
      <c r="K23" s="28"/>
      <c r="L23" s="28"/>
    </row>
    <row r="24" spans="1:12" x14ac:dyDescent="0.2">
      <c r="A24" s="61"/>
      <c r="B24" s="4" t="s">
        <v>318</v>
      </c>
      <c r="C24" s="419"/>
      <c r="D24" s="419"/>
      <c r="E24" s="358" t="s">
        <v>305</v>
      </c>
      <c r="F24" s="361"/>
      <c r="G24" s="364"/>
      <c r="H24" s="28"/>
      <c r="I24" s="28"/>
      <c r="J24" s="28"/>
      <c r="K24" s="28"/>
      <c r="L24" s="28"/>
    </row>
    <row r="25" spans="1:12" ht="15" x14ac:dyDescent="0.2">
      <c r="A25" s="61"/>
      <c r="B25" s="104" t="s">
        <v>319</v>
      </c>
      <c r="C25" s="319"/>
      <c r="D25" s="319"/>
      <c r="E25" s="357" t="s">
        <v>307</v>
      </c>
      <c r="F25" s="51"/>
      <c r="G25" s="62"/>
      <c r="H25" s="28"/>
      <c r="I25" s="28"/>
      <c r="J25" s="28"/>
      <c r="K25" s="28"/>
      <c r="L25" s="28"/>
    </row>
    <row r="26" spans="1:12" ht="15" x14ac:dyDescent="0.2">
      <c r="A26" s="61"/>
      <c r="B26" s="49"/>
      <c r="C26" s="360"/>
      <c r="D26" s="360"/>
      <c r="E26" s="360"/>
      <c r="F26" s="51"/>
      <c r="G26" s="62"/>
      <c r="H26" s="28"/>
      <c r="I26" s="28"/>
      <c r="J26" s="28"/>
      <c r="K26" s="28"/>
      <c r="L26" s="28"/>
    </row>
    <row r="27" spans="1:12" ht="16.5" thickBot="1" x14ac:dyDescent="0.3">
      <c r="A27" s="13"/>
      <c r="B27" s="397" t="s">
        <v>301</v>
      </c>
      <c r="C27" s="416"/>
      <c r="D27" s="416"/>
      <c r="E27" s="367"/>
      <c r="F27" s="396" t="s">
        <v>326</v>
      </c>
      <c r="G27" s="73"/>
      <c r="H27" s="74"/>
      <c r="I27" s="28"/>
      <c r="J27" s="75"/>
      <c r="K27" s="28"/>
      <c r="L27" s="28"/>
    </row>
  </sheetData>
  <printOptions horizontalCentered="1" verticalCentered="1"/>
  <pageMargins left="1.1811023622047245" right="0.19685039370078741" top="0.15748031496062992" bottom="0.35433070866141736" header="0" footer="0"/>
  <pageSetup paperSize="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85"/>
  <sheetViews>
    <sheetView zoomScale="98" zoomScaleNormal="98" workbookViewId="0">
      <selection sqref="A1:I79"/>
    </sheetView>
  </sheetViews>
  <sheetFormatPr baseColWidth="10" defaultRowHeight="12.75" x14ac:dyDescent="0.2"/>
  <cols>
    <col min="1" max="1" width="48.140625" style="76" customWidth="1"/>
    <col min="2" max="2" width="36.140625" style="76" customWidth="1"/>
    <col min="3" max="3" width="28.7109375" style="76" customWidth="1"/>
    <col min="4" max="4" width="25.140625" style="76" customWidth="1"/>
    <col min="5" max="7" width="23.85546875" style="76" customWidth="1"/>
    <col min="8" max="8" width="21.140625" style="76" customWidth="1"/>
    <col min="9" max="9" width="23.42578125" style="76" customWidth="1"/>
    <col min="10" max="10" width="18.85546875" style="76" customWidth="1"/>
    <col min="11" max="12" width="18.140625" style="76" customWidth="1"/>
    <col min="13" max="13" width="18.7109375" style="76" customWidth="1"/>
    <col min="14" max="14" width="17.28515625" style="76" customWidth="1"/>
    <col min="15" max="15" width="4.28515625" style="76" customWidth="1"/>
    <col min="16" max="249" width="11.5703125" style="76"/>
    <col min="250" max="250" width="37.5703125" style="76" customWidth="1"/>
    <col min="251" max="251" width="16.28515625" style="76" customWidth="1"/>
    <col min="252" max="252" width="16.42578125" style="76" customWidth="1"/>
    <col min="253" max="253" width="14.42578125" style="76" customWidth="1"/>
    <col min="254" max="254" width="14.7109375" style="76" customWidth="1"/>
    <col min="255" max="257" width="14.28515625" style="76" customWidth="1"/>
    <col min="258" max="258" width="14.7109375" style="76" customWidth="1"/>
    <col min="259" max="259" width="14.42578125" style="76" customWidth="1"/>
    <col min="260" max="260" width="13.85546875" style="76" customWidth="1"/>
    <col min="261" max="264" width="15.28515625" style="76" customWidth="1"/>
    <col min="265" max="265" width="15" style="76" customWidth="1"/>
    <col min="266" max="266" width="18.85546875" style="76" customWidth="1"/>
    <col min="267" max="268" width="18.140625" style="76" customWidth="1"/>
    <col min="269" max="269" width="18.7109375" style="76" customWidth="1"/>
    <col min="270" max="270" width="17.28515625" style="76" customWidth="1"/>
    <col min="271" max="271" width="4.28515625" style="76" customWidth="1"/>
    <col min="272" max="505" width="11.5703125" style="76"/>
    <col min="506" max="506" width="37.5703125" style="76" customWidth="1"/>
    <col min="507" max="507" width="16.28515625" style="76" customWidth="1"/>
    <col min="508" max="508" width="16.42578125" style="76" customWidth="1"/>
    <col min="509" max="509" width="14.42578125" style="76" customWidth="1"/>
    <col min="510" max="510" width="14.7109375" style="76" customWidth="1"/>
    <col min="511" max="513" width="14.28515625" style="76" customWidth="1"/>
    <col min="514" max="514" width="14.7109375" style="76" customWidth="1"/>
    <col min="515" max="515" width="14.42578125" style="76" customWidth="1"/>
    <col min="516" max="516" width="13.85546875" style="76" customWidth="1"/>
    <col min="517" max="520" width="15.28515625" style="76" customWidth="1"/>
    <col min="521" max="521" width="15" style="76" customWidth="1"/>
    <col min="522" max="522" width="18.85546875" style="76" customWidth="1"/>
    <col min="523" max="524" width="18.140625" style="76" customWidth="1"/>
    <col min="525" max="525" width="18.7109375" style="76" customWidth="1"/>
    <col min="526" max="526" width="17.28515625" style="76" customWidth="1"/>
    <col min="527" max="527" width="4.28515625" style="76" customWidth="1"/>
    <col min="528" max="761" width="11.5703125" style="76"/>
    <col min="762" max="762" width="37.5703125" style="76" customWidth="1"/>
    <col min="763" max="763" width="16.28515625" style="76" customWidth="1"/>
    <col min="764" max="764" width="16.42578125" style="76" customWidth="1"/>
    <col min="765" max="765" width="14.42578125" style="76" customWidth="1"/>
    <col min="766" max="766" width="14.7109375" style="76" customWidth="1"/>
    <col min="767" max="769" width="14.28515625" style="76" customWidth="1"/>
    <col min="770" max="770" width="14.7109375" style="76" customWidth="1"/>
    <col min="771" max="771" width="14.42578125" style="76" customWidth="1"/>
    <col min="772" max="772" width="13.85546875" style="76" customWidth="1"/>
    <col min="773" max="776" width="15.28515625" style="76" customWidth="1"/>
    <col min="777" max="777" width="15" style="76" customWidth="1"/>
    <col min="778" max="778" width="18.85546875" style="76" customWidth="1"/>
    <col min="779" max="780" width="18.140625" style="76" customWidth="1"/>
    <col min="781" max="781" width="18.7109375" style="76" customWidth="1"/>
    <col min="782" max="782" width="17.28515625" style="76" customWidth="1"/>
    <col min="783" max="783" width="4.28515625" style="76" customWidth="1"/>
    <col min="784" max="1017" width="11.5703125" style="76"/>
    <col min="1018" max="1018" width="37.5703125" style="76" customWidth="1"/>
    <col min="1019" max="1019" width="16.28515625" style="76" customWidth="1"/>
    <col min="1020" max="1020" width="16.42578125" style="76" customWidth="1"/>
    <col min="1021" max="1021" width="14.42578125" style="76" customWidth="1"/>
    <col min="1022" max="1022" width="14.7109375" style="76" customWidth="1"/>
    <col min="1023" max="1025" width="14.28515625" style="76" customWidth="1"/>
    <col min="1026" max="1026" width="14.7109375" style="76" customWidth="1"/>
    <col min="1027" max="1027" width="14.42578125" style="76" customWidth="1"/>
    <col min="1028" max="1028" width="13.85546875" style="76" customWidth="1"/>
    <col min="1029" max="1032" width="15.28515625" style="76" customWidth="1"/>
    <col min="1033" max="1033" width="15" style="76" customWidth="1"/>
    <col min="1034" max="1034" width="18.85546875" style="76" customWidth="1"/>
    <col min="1035" max="1036" width="18.140625" style="76" customWidth="1"/>
    <col min="1037" max="1037" width="18.7109375" style="76" customWidth="1"/>
    <col min="1038" max="1038" width="17.28515625" style="76" customWidth="1"/>
    <col min="1039" max="1039" width="4.28515625" style="76" customWidth="1"/>
    <col min="1040" max="1273" width="11.5703125" style="76"/>
    <col min="1274" max="1274" width="37.5703125" style="76" customWidth="1"/>
    <col min="1275" max="1275" width="16.28515625" style="76" customWidth="1"/>
    <col min="1276" max="1276" width="16.42578125" style="76" customWidth="1"/>
    <col min="1277" max="1277" width="14.42578125" style="76" customWidth="1"/>
    <col min="1278" max="1278" width="14.7109375" style="76" customWidth="1"/>
    <col min="1279" max="1281" width="14.28515625" style="76" customWidth="1"/>
    <col min="1282" max="1282" width="14.7109375" style="76" customWidth="1"/>
    <col min="1283" max="1283" width="14.42578125" style="76" customWidth="1"/>
    <col min="1284" max="1284" width="13.85546875" style="76" customWidth="1"/>
    <col min="1285" max="1288" width="15.28515625" style="76" customWidth="1"/>
    <col min="1289" max="1289" width="15" style="76" customWidth="1"/>
    <col min="1290" max="1290" width="18.85546875" style="76" customWidth="1"/>
    <col min="1291" max="1292" width="18.140625" style="76" customWidth="1"/>
    <col min="1293" max="1293" width="18.7109375" style="76" customWidth="1"/>
    <col min="1294" max="1294" width="17.28515625" style="76" customWidth="1"/>
    <col min="1295" max="1295" width="4.28515625" style="76" customWidth="1"/>
    <col min="1296" max="1529" width="11.5703125" style="76"/>
    <col min="1530" max="1530" width="37.5703125" style="76" customWidth="1"/>
    <col min="1531" max="1531" width="16.28515625" style="76" customWidth="1"/>
    <col min="1532" max="1532" width="16.42578125" style="76" customWidth="1"/>
    <col min="1533" max="1533" width="14.42578125" style="76" customWidth="1"/>
    <col min="1534" max="1534" width="14.7109375" style="76" customWidth="1"/>
    <col min="1535" max="1537" width="14.28515625" style="76" customWidth="1"/>
    <col min="1538" max="1538" width="14.7109375" style="76" customWidth="1"/>
    <col min="1539" max="1539" width="14.42578125" style="76" customWidth="1"/>
    <col min="1540" max="1540" width="13.85546875" style="76" customWidth="1"/>
    <col min="1541" max="1544" width="15.28515625" style="76" customWidth="1"/>
    <col min="1545" max="1545" width="15" style="76" customWidth="1"/>
    <col min="1546" max="1546" width="18.85546875" style="76" customWidth="1"/>
    <col min="1547" max="1548" width="18.140625" style="76" customWidth="1"/>
    <col min="1549" max="1549" width="18.7109375" style="76" customWidth="1"/>
    <col min="1550" max="1550" width="17.28515625" style="76" customWidth="1"/>
    <col min="1551" max="1551" width="4.28515625" style="76" customWidth="1"/>
    <col min="1552" max="1785" width="11.5703125" style="76"/>
    <col min="1786" max="1786" width="37.5703125" style="76" customWidth="1"/>
    <col min="1787" max="1787" width="16.28515625" style="76" customWidth="1"/>
    <col min="1788" max="1788" width="16.42578125" style="76" customWidth="1"/>
    <col min="1789" max="1789" width="14.42578125" style="76" customWidth="1"/>
    <col min="1790" max="1790" width="14.7109375" style="76" customWidth="1"/>
    <col min="1791" max="1793" width="14.28515625" style="76" customWidth="1"/>
    <col min="1794" max="1794" width="14.7109375" style="76" customWidth="1"/>
    <col min="1795" max="1795" width="14.42578125" style="76" customWidth="1"/>
    <col min="1796" max="1796" width="13.85546875" style="76" customWidth="1"/>
    <col min="1797" max="1800" width="15.28515625" style="76" customWidth="1"/>
    <col min="1801" max="1801" width="15" style="76" customWidth="1"/>
    <col min="1802" max="1802" width="18.85546875" style="76" customWidth="1"/>
    <col min="1803" max="1804" width="18.140625" style="76" customWidth="1"/>
    <col min="1805" max="1805" width="18.7109375" style="76" customWidth="1"/>
    <col min="1806" max="1806" width="17.28515625" style="76" customWidth="1"/>
    <col min="1807" max="1807" width="4.28515625" style="76" customWidth="1"/>
    <col min="1808" max="2041" width="11.5703125" style="76"/>
    <col min="2042" max="2042" width="37.5703125" style="76" customWidth="1"/>
    <col min="2043" max="2043" width="16.28515625" style="76" customWidth="1"/>
    <col min="2044" max="2044" width="16.42578125" style="76" customWidth="1"/>
    <col min="2045" max="2045" width="14.42578125" style="76" customWidth="1"/>
    <col min="2046" max="2046" width="14.7109375" style="76" customWidth="1"/>
    <col min="2047" max="2049" width="14.28515625" style="76" customWidth="1"/>
    <col min="2050" max="2050" width="14.7109375" style="76" customWidth="1"/>
    <col min="2051" max="2051" width="14.42578125" style="76" customWidth="1"/>
    <col min="2052" max="2052" width="13.85546875" style="76" customWidth="1"/>
    <col min="2053" max="2056" width="15.28515625" style="76" customWidth="1"/>
    <col min="2057" max="2057" width="15" style="76" customWidth="1"/>
    <col min="2058" max="2058" width="18.85546875" style="76" customWidth="1"/>
    <col min="2059" max="2060" width="18.140625" style="76" customWidth="1"/>
    <col min="2061" max="2061" width="18.7109375" style="76" customWidth="1"/>
    <col min="2062" max="2062" width="17.28515625" style="76" customWidth="1"/>
    <col min="2063" max="2063" width="4.28515625" style="76" customWidth="1"/>
    <col min="2064" max="2297" width="11.5703125" style="76"/>
    <col min="2298" max="2298" width="37.5703125" style="76" customWidth="1"/>
    <col min="2299" max="2299" width="16.28515625" style="76" customWidth="1"/>
    <col min="2300" max="2300" width="16.42578125" style="76" customWidth="1"/>
    <col min="2301" max="2301" width="14.42578125" style="76" customWidth="1"/>
    <col min="2302" max="2302" width="14.7109375" style="76" customWidth="1"/>
    <col min="2303" max="2305" width="14.28515625" style="76" customWidth="1"/>
    <col min="2306" max="2306" width="14.7109375" style="76" customWidth="1"/>
    <col min="2307" max="2307" width="14.42578125" style="76" customWidth="1"/>
    <col min="2308" max="2308" width="13.85546875" style="76" customWidth="1"/>
    <col min="2309" max="2312" width="15.28515625" style="76" customWidth="1"/>
    <col min="2313" max="2313" width="15" style="76" customWidth="1"/>
    <col min="2314" max="2314" width="18.85546875" style="76" customWidth="1"/>
    <col min="2315" max="2316" width="18.140625" style="76" customWidth="1"/>
    <col min="2317" max="2317" width="18.7109375" style="76" customWidth="1"/>
    <col min="2318" max="2318" width="17.28515625" style="76" customWidth="1"/>
    <col min="2319" max="2319" width="4.28515625" style="76" customWidth="1"/>
    <col min="2320" max="2553" width="11.5703125" style="76"/>
    <col min="2554" max="2554" width="37.5703125" style="76" customWidth="1"/>
    <col min="2555" max="2555" width="16.28515625" style="76" customWidth="1"/>
    <col min="2556" max="2556" width="16.42578125" style="76" customWidth="1"/>
    <col min="2557" max="2557" width="14.42578125" style="76" customWidth="1"/>
    <col min="2558" max="2558" width="14.7109375" style="76" customWidth="1"/>
    <col min="2559" max="2561" width="14.28515625" style="76" customWidth="1"/>
    <col min="2562" max="2562" width="14.7109375" style="76" customWidth="1"/>
    <col min="2563" max="2563" width="14.42578125" style="76" customWidth="1"/>
    <col min="2564" max="2564" width="13.85546875" style="76" customWidth="1"/>
    <col min="2565" max="2568" width="15.28515625" style="76" customWidth="1"/>
    <col min="2569" max="2569" width="15" style="76" customWidth="1"/>
    <col min="2570" max="2570" width="18.85546875" style="76" customWidth="1"/>
    <col min="2571" max="2572" width="18.140625" style="76" customWidth="1"/>
    <col min="2573" max="2573" width="18.7109375" style="76" customWidth="1"/>
    <col min="2574" max="2574" width="17.28515625" style="76" customWidth="1"/>
    <col min="2575" max="2575" width="4.28515625" style="76" customWidth="1"/>
    <col min="2576" max="2809" width="11.5703125" style="76"/>
    <col min="2810" max="2810" width="37.5703125" style="76" customWidth="1"/>
    <col min="2811" max="2811" width="16.28515625" style="76" customWidth="1"/>
    <col min="2812" max="2812" width="16.42578125" style="76" customWidth="1"/>
    <col min="2813" max="2813" width="14.42578125" style="76" customWidth="1"/>
    <col min="2814" max="2814" width="14.7109375" style="76" customWidth="1"/>
    <col min="2815" max="2817" width="14.28515625" style="76" customWidth="1"/>
    <col min="2818" max="2818" width="14.7109375" style="76" customWidth="1"/>
    <col min="2819" max="2819" width="14.42578125" style="76" customWidth="1"/>
    <col min="2820" max="2820" width="13.85546875" style="76" customWidth="1"/>
    <col min="2821" max="2824" width="15.28515625" style="76" customWidth="1"/>
    <col min="2825" max="2825" width="15" style="76" customWidth="1"/>
    <col min="2826" max="2826" width="18.85546875" style="76" customWidth="1"/>
    <col min="2827" max="2828" width="18.140625" style="76" customWidth="1"/>
    <col min="2829" max="2829" width="18.7109375" style="76" customWidth="1"/>
    <col min="2830" max="2830" width="17.28515625" style="76" customWidth="1"/>
    <col min="2831" max="2831" width="4.28515625" style="76" customWidth="1"/>
    <col min="2832" max="3065" width="11.5703125" style="76"/>
    <col min="3066" max="3066" width="37.5703125" style="76" customWidth="1"/>
    <col min="3067" max="3067" width="16.28515625" style="76" customWidth="1"/>
    <col min="3068" max="3068" width="16.42578125" style="76" customWidth="1"/>
    <col min="3069" max="3069" width="14.42578125" style="76" customWidth="1"/>
    <col min="3070" max="3070" width="14.7109375" style="76" customWidth="1"/>
    <col min="3071" max="3073" width="14.28515625" style="76" customWidth="1"/>
    <col min="3074" max="3074" width="14.7109375" style="76" customWidth="1"/>
    <col min="3075" max="3075" width="14.42578125" style="76" customWidth="1"/>
    <col min="3076" max="3076" width="13.85546875" style="76" customWidth="1"/>
    <col min="3077" max="3080" width="15.28515625" style="76" customWidth="1"/>
    <col min="3081" max="3081" width="15" style="76" customWidth="1"/>
    <col min="3082" max="3082" width="18.85546875" style="76" customWidth="1"/>
    <col min="3083" max="3084" width="18.140625" style="76" customWidth="1"/>
    <col min="3085" max="3085" width="18.7109375" style="76" customWidth="1"/>
    <col min="3086" max="3086" width="17.28515625" style="76" customWidth="1"/>
    <col min="3087" max="3087" width="4.28515625" style="76" customWidth="1"/>
    <col min="3088" max="3321" width="11.5703125" style="76"/>
    <col min="3322" max="3322" width="37.5703125" style="76" customWidth="1"/>
    <col min="3323" max="3323" width="16.28515625" style="76" customWidth="1"/>
    <col min="3324" max="3324" width="16.42578125" style="76" customWidth="1"/>
    <col min="3325" max="3325" width="14.42578125" style="76" customWidth="1"/>
    <col min="3326" max="3326" width="14.7109375" style="76" customWidth="1"/>
    <col min="3327" max="3329" width="14.28515625" style="76" customWidth="1"/>
    <col min="3330" max="3330" width="14.7109375" style="76" customWidth="1"/>
    <col min="3331" max="3331" width="14.42578125" style="76" customWidth="1"/>
    <col min="3332" max="3332" width="13.85546875" style="76" customWidth="1"/>
    <col min="3333" max="3336" width="15.28515625" style="76" customWidth="1"/>
    <col min="3337" max="3337" width="15" style="76" customWidth="1"/>
    <col min="3338" max="3338" width="18.85546875" style="76" customWidth="1"/>
    <col min="3339" max="3340" width="18.140625" style="76" customWidth="1"/>
    <col min="3341" max="3341" width="18.7109375" style="76" customWidth="1"/>
    <col min="3342" max="3342" width="17.28515625" style="76" customWidth="1"/>
    <col min="3343" max="3343" width="4.28515625" style="76" customWidth="1"/>
    <col min="3344" max="3577" width="11.5703125" style="76"/>
    <col min="3578" max="3578" width="37.5703125" style="76" customWidth="1"/>
    <col min="3579" max="3579" width="16.28515625" style="76" customWidth="1"/>
    <col min="3580" max="3580" width="16.42578125" style="76" customWidth="1"/>
    <col min="3581" max="3581" width="14.42578125" style="76" customWidth="1"/>
    <col min="3582" max="3582" width="14.7109375" style="76" customWidth="1"/>
    <col min="3583" max="3585" width="14.28515625" style="76" customWidth="1"/>
    <col min="3586" max="3586" width="14.7109375" style="76" customWidth="1"/>
    <col min="3587" max="3587" width="14.42578125" style="76" customWidth="1"/>
    <col min="3588" max="3588" width="13.85546875" style="76" customWidth="1"/>
    <col min="3589" max="3592" width="15.28515625" style="76" customWidth="1"/>
    <col min="3593" max="3593" width="15" style="76" customWidth="1"/>
    <col min="3594" max="3594" width="18.85546875" style="76" customWidth="1"/>
    <col min="3595" max="3596" width="18.140625" style="76" customWidth="1"/>
    <col min="3597" max="3597" width="18.7109375" style="76" customWidth="1"/>
    <col min="3598" max="3598" width="17.28515625" style="76" customWidth="1"/>
    <col min="3599" max="3599" width="4.28515625" style="76" customWidth="1"/>
    <col min="3600" max="3833" width="11.5703125" style="76"/>
    <col min="3834" max="3834" width="37.5703125" style="76" customWidth="1"/>
    <col min="3835" max="3835" width="16.28515625" style="76" customWidth="1"/>
    <col min="3836" max="3836" width="16.42578125" style="76" customWidth="1"/>
    <col min="3837" max="3837" width="14.42578125" style="76" customWidth="1"/>
    <col min="3838" max="3838" width="14.7109375" style="76" customWidth="1"/>
    <col min="3839" max="3841" width="14.28515625" style="76" customWidth="1"/>
    <col min="3842" max="3842" width="14.7109375" style="76" customWidth="1"/>
    <col min="3843" max="3843" width="14.42578125" style="76" customWidth="1"/>
    <col min="3844" max="3844" width="13.85546875" style="76" customWidth="1"/>
    <col min="3845" max="3848" width="15.28515625" style="76" customWidth="1"/>
    <col min="3849" max="3849" width="15" style="76" customWidth="1"/>
    <col min="3850" max="3850" width="18.85546875" style="76" customWidth="1"/>
    <col min="3851" max="3852" width="18.140625" style="76" customWidth="1"/>
    <col min="3853" max="3853" width="18.7109375" style="76" customWidth="1"/>
    <col min="3854" max="3854" width="17.28515625" style="76" customWidth="1"/>
    <col min="3855" max="3855" width="4.28515625" style="76" customWidth="1"/>
    <col min="3856" max="4089" width="11.5703125" style="76"/>
    <col min="4090" max="4090" width="37.5703125" style="76" customWidth="1"/>
    <col min="4091" max="4091" width="16.28515625" style="76" customWidth="1"/>
    <col min="4092" max="4092" width="16.42578125" style="76" customWidth="1"/>
    <col min="4093" max="4093" width="14.42578125" style="76" customWidth="1"/>
    <col min="4094" max="4094" width="14.7109375" style="76" customWidth="1"/>
    <col min="4095" max="4097" width="14.28515625" style="76" customWidth="1"/>
    <col min="4098" max="4098" width="14.7109375" style="76" customWidth="1"/>
    <col min="4099" max="4099" width="14.42578125" style="76" customWidth="1"/>
    <col min="4100" max="4100" width="13.85546875" style="76" customWidth="1"/>
    <col min="4101" max="4104" width="15.28515625" style="76" customWidth="1"/>
    <col min="4105" max="4105" width="15" style="76" customWidth="1"/>
    <col min="4106" max="4106" width="18.85546875" style="76" customWidth="1"/>
    <col min="4107" max="4108" width="18.140625" style="76" customWidth="1"/>
    <col min="4109" max="4109" width="18.7109375" style="76" customWidth="1"/>
    <col min="4110" max="4110" width="17.28515625" style="76" customWidth="1"/>
    <col min="4111" max="4111" width="4.28515625" style="76" customWidth="1"/>
    <col min="4112" max="4345" width="11.5703125" style="76"/>
    <col min="4346" max="4346" width="37.5703125" style="76" customWidth="1"/>
    <col min="4347" max="4347" width="16.28515625" style="76" customWidth="1"/>
    <col min="4348" max="4348" width="16.42578125" style="76" customWidth="1"/>
    <col min="4349" max="4349" width="14.42578125" style="76" customWidth="1"/>
    <col min="4350" max="4350" width="14.7109375" style="76" customWidth="1"/>
    <col min="4351" max="4353" width="14.28515625" style="76" customWidth="1"/>
    <col min="4354" max="4354" width="14.7109375" style="76" customWidth="1"/>
    <col min="4355" max="4355" width="14.42578125" style="76" customWidth="1"/>
    <col min="4356" max="4356" width="13.85546875" style="76" customWidth="1"/>
    <col min="4357" max="4360" width="15.28515625" style="76" customWidth="1"/>
    <col min="4361" max="4361" width="15" style="76" customWidth="1"/>
    <col min="4362" max="4362" width="18.85546875" style="76" customWidth="1"/>
    <col min="4363" max="4364" width="18.140625" style="76" customWidth="1"/>
    <col min="4365" max="4365" width="18.7109375" style="76" customWidth="1"/>
    <col min="4366" max="4366" width="17.28515625" style="76" customWidth="1"/>
    <col min="4367" max="4367" width="4.28515625" style="76" customWidth="1"/>
    <col min="4368" max="4601" width="11.5703125" style="76"/>
    <col min="4602" max="4602" width="37.5703125" style="76" customWidth="1"/>
    <col min="4603" max="4603" width="16.28515625" style="76" customWidth="1"/>
    <col min="4604" max="4604" width="16.42578125" style="76" customWidth="1"/>
    <col min="4605" max="4605" width="14.42578125" style="76" customWidth="1"/>
    <col min="4606" max="4606" width="14.7109375" style="76" customWidth="1"/>
    <col min="4607" max="4609" width="14.28515625" style="76" customWidth="1"/>
    <col min="4610" max="4610" width="14.7109375" style="76" customWidth="1"/>
    <col min="4611" max="4611" width="14.42578125" style="76" customWidth="1"/>
    <col min="4612" max="4612" width="13.85546875" style="76" customWidth="1"/>
    <col min="4613" max="4616" width="15.28515625" style="76" customWidth="1"/>
    <col min="4617" max="4617" width="15" style="76" customWidth="1"/>
    <col min="4618" max="4618" width="18.85546875" style="76" customWidth="1"/>
    <col min="4619" max="4620" width="18.140625" style="76" customWidth="1"/>
    <col min="4621" max="4621" width="18.7109375" style="76" customWidth="1"/>
    <col min="4622" max="4622" width="17.28515625" style="76" customWidth="1"/>
    <col min="4623" max="4623" width="4.28515625" style="76" customWidth="1"/>
    <col min="4624" max="4857" width="11.5703125" style="76"/>
    <col min="4858" max="4858" width="37.5703125" style="76" customWidth="1"/>
    <col min="4859" max="4859" width="16.28515625" style="76" customWidth="1"/>
    <col min="4860" max="4860" width="16.42578125" style="76" customWidth="1"/>
    <col min="4861" max="4861" width="14.42578125" style="76" customWidth="1"/>
    <col min="4862" max="4862" width="14.7109375" style="76" customWidth="1"/>
    <col min="4863" max="4865" width="14.28515625" style="76" customWidth="1"/>
    <col min="4866" max="4866" width="14.7109375" style="76" customWidth="1"/>
    <col min="4867" max="4867" width="14.42578125" style="76" customWidth="1"/>
    <col min="4868" max="4868" width="13.85546875" style="76" customWidth="1"/>
    <col min="4869" max="4872" width="15.28515625" style="76" customWidth="1"/>
    <col min="4873" max="4873" width="15" style="76" customWidth="1"/>
    <col min="4874" max="4874" width="18.85546875" style="76" customWidth="1"/>
    <col min="4875" max="4876" width="18.140625" style="76" customWidth="1"/>
    <col min="4877" max="4877" width="18.7109375" style="76" customWidth="1"/>
    <col min="4878" max="4878" width="17.28515625" style="76" customWidth="1"/>
    <col min="4879" max="4879" width="4.28515625" style="76" customWidth="1"/>
    <col min="4880" max="5113" width="11.5703125" style="76"/>
    <col min="5114" max="5114" width="37.5703125" style="76" customWidth="1"/>
    <col min="5115" max="5115" width="16.28515625" style="76" customWidth="1"/>
    <col min="5116" max="5116" width="16.42578125" style="76" customWidth="1"/>
    <col min="5117" max="5117" width="14.42578125" style="76" customWidth="1"/>
    <col min="5118" max="5118" width="14.7109375" style="76" customWidth="1"/>
    <col min="5119" max="5121" width="14.28515625" style="76" customWidth="1"/>
    <col min="5122" max="5122" width="14.7109375" style="76" customWidth="1"/>
    <col min="5123" max="5123" width="14.42578125" style="76" customWidth="1"/>
    <col min="5124" max="5124" width="13.85546875" style="76" customWidth="1"/>
    <col min="5125" max="5128" width="15.28515625" style="76" customWidth="1"/>
    <col min="5129" max="5129" width="15" style="76" customWidth="1"/>
    <col min="5130" max="5130" width="18.85546875" style="76" customWidth="1"/>
    <col min="5131" max="5132" width="18.140625" style="76" customWidth="1"/>
    <col min="5133" max="5133" width="18.7109375" style="76" customWidth="1"/>
    <col min="5134" max="5134" width="17.28515625" style="76" customWidth="1"/>
    <col min="5135" max="5135" width="4.28515625" style="76" customWidth="1"/>
    <col min="5136" max="5369" width="11.5703125" style="76"/>
    <col min="5370" max="5370" width="37.5703125" style="76" customWidth="1"/>
    <col min="5371" max="5371" width="16.28515625" style="76" customWidth="1"/>
    <col min="5372" max="5372" width="16.42578125" style="76" customWidth="1"/>
    <col min="5373" max="5373" width="14.42578125" style="76" customWidth="1"/>
    <col min="5374" max="5374" width="14.7109375" style="76" customWidth="1"/>
    <col min="5375" max="5377" width="14.28515625" style="76" customWidth="1"/>
    <col min="5378" max="5378" width="14.7109375" style="76" customWidth="1"/>
    <col min="5379" max="5379" width="14.42578125" style="76" customWidth="1"/>
    <col min="5380" max="5380" width="13.85546875" style="76" customWidth="1"/>
    <col min="5381" max="5384" width="15.28515625" style="76" customWidth="1"/>
    <col min="5385" max="5385" width="15" style="76" customWidth="1"/>
    <col min="5386" max="5386" width="18.85546875" style="76" customWidth="1"/>
    <col min="5387" max="5388" width="18.140625" style="76" customWidth="1"/>
    <col min="5389" max="5389" width="18.7109375" style="76" customWidth="1"/>
    <col min="5390" max="5390" width="17.28515625" style="76" customWidth="1"/>
    <col min="5391" max="5391" width="4.28515625" style="76" customWidth="1"/>
    <col min="5392" max="5625" width="11.5703125" style="76"/>
    <col min="5626" max="5626" width="37.5703125" style="76" customWidth="1"/>
    <col min="5627" max="5627" width="16.28515625" style="76" customWidth="1"/>
    <col min="5628" max="5628" width="16.42578125" style="76" customWidth="1"/>
    <col min="5629" max="5629" width="14.42578125" style="76" customWidth="1"/>
    <col min="5630" max="5630" width="14.7109375" style="76" customWidth="1"/>
    <col min="5631" max="5633" width="14.28515625" style="76" customWidth="1"/>
    <col min="5634" max="5634" width="14.7109375" style="76" customWidth="1"/>
    <col min="5635" max="5635" width="14.42578125" style="76" customWidth="1"/>
    <col min="5636" max="5636" width="13.85546875" style="76" customWidth="1"/>
    <col min="5637" max="5640" width="15.28515625" style="76" customWidth="1"/>
    <col min="5641" max="5641" width="15" style="76" customWidth="1"/>
    <col min="5642" max="5642" width="18.85546875" style="76" customWidth="1"/>
    <col min="5643" max="5644" width="18.140625" style="76" customWidth="1"/>
    <col min="5645" max="5645" width="18.7109375" style="76" customWidth="1"/>
    <col min="5646" max="5646" width="17.28515625" style="76" customWidth="1"/>
    <col min="5647" max="5647" width="4.28515625" style="76" customWidth="1"/>
    <col min="5648" max="5881" width="11.5703125" style="76"/>
    <col min="5882" max="5882" width="37.5703125" style="76" customWidth="1"/>
    <col min="5883" max="5883" width="16.28515625" style="76" customWidth="1"/>
    <col min="5884" max="5884" width="16.42578125" style="76" customWidth="1"/>
    <col min="5885" max="5885" width="14.42578125" style="76" customWidth="1"/>
    <col min="5886" max="5886" width="14.7109375" style="76" customWidth="1"/>
    <col min="5887" max="5889" width="14.28515625" style="76" customWidth="1"/>
    <col min="5890" max="5890" width="14.7109375" style="76" customWidth="1"/>
    <col min="5891" max="5891" width="14.42578125" style="76" customWidth="1"/>
    <col min="5892" max="5892" width="13.85546875" style="76" customWidth="1"/>
    <col min="5893" max="5896" width="15.28515625" style="76" customWidth="1"/>
    <col min="5897" max="5897" width="15" style="76" customWidth="1"/>
    <col min="5898" max="5898" width="18.85546875" style="76" customWidth="1"/>
    <col min="5899" max="5900" width="18.140625" style="76" customWidth="1"/>
    <col min="5901" max="5901" width="18.7109375" style="76" customWidth="1"/>
    <col min="5902" max="5902" width="17.28515625" style="76" customWidth="1"/>
    <col min="5903" max="5903" width="4.28515625" style="76" customWidth="1"/>
    <col min="5904" max="6137" width="11.5703125" style="76"/>
    <col min="6138" max="6138" width="37.5703125" style="76" customWidth="1"/>
    <col min="6139" max="6139" width="16.28515625" style="76" customWidth="1"/>
    <col min="6140" max="6140" width="16.42578125" style="76" customWidth="1"/>
    <col min="6141" max="6141" width="14.42578125" style="76" customWidth="1"/>
    <col min="6142" max="6142" width="14.7109375" style="76" customWidth="1"/>
    <col min="6143" max="6145" width="14.28515625" style="76" customWidth="1"/>
    <col min="6146" max="6146" width="14.7109375" style="76" customWidth="1"/>
    <col min="6147" max="6147" width="14.42578125" style="76" customWidth="1"/>
    <col min="6148" max="6148" width="13.85546875" style="76" customWidth="1"/>
    <col min="6149" max="6152" width="15.28515625" style="76" customWidth="1"/>
    <col min="6153" max="6153" width="15" style="76" customWidth="1"/>
    <col min="6154" max="6154" width="18.85546875" style="76" customWidth="1"/>
    <col min="6155" max="6156" width="18.140625" style="76" customWidth="1"/>
    <col min="6157" max="6157" width="18.7109375" style="76" customWidth="1"/>
    <col min="6158" max="6158" width="17.28515625" style="76" customWidth="1"/>
    <col min="6159" max="6159" width="4.28515625" style="76" customWidth="1"/>
    <col min="6160" max="6393" width="11.5703125" style="76"/>
    <col min="6394" max="6394" width="37.5703125" style="76" customWidth="1"/>
    <col min="6395" max="6395" width="16.28515625" style="76" customWidth="1"/>
    <col min="6396" max="6396" width="16.42578125" style="76" customWidth="1"/>
    <col min="6397" max="6397" width="14.42578125" style="76" customWidth="1"/>
    <col min="6398" max="6398" width="14.7109375" style="76" customWidth="1"/>
    <col min="6399" max="6401" width="14.28515625" style="76" customWidth="1"/>
    <col min="6402" max="6402" width="14.7109375" style="76" customWidth="1"/>
    <col min="6403" max="6403" width="14.42578125" style="76" customWidth="1"/>
    <col min="6404" max="6404" width="13.85546875" style="76" customWidth="1"/>
    <col min="6405" max="6408" width="15.28515625" style="76" customWidth="1"/>
    <col min="6409" max="6409" width="15" style="76" customWidth="1"/>
    <col min="6410" max="6410" width="18.85546875" style="76" customWidth="1"/>
    <col min="6411" max="6412" width="18.140625" style="76" customWidth="1"/>
    <col min="6413" max="6413" width="18.7109375" style="76" customWidth="1"/>
    <col min="6414" max="6414" width="17.28515625" style="76" customWidth="1"/>
    <col min="6415" max="6415" width="4.28515625" style="76" customWidth="1"/>
    <col min="6416" max="6649" width="11.5703125" style="76"/>
    <col min="6650" max="6650" width="37.5703125" style="76" customWidth="1"/>
    <col min="6651" max="6651" width="16.28515625" style="76" customWidth="1"/>
    <col min="6652" max="6652" width="16.42578125" style="76" customWidth="1"/>
    <col min="6653" max="6653" width="14.42578125" style="76" customWidth="1"/>
    <col min="6654" max="6654" width="14.7109375" style="76" customWidth="1"/>
    <col min="6655" max="6657" width="14.28515625" style="76" customWidth="1"/>
    <col min="6658" max="6658" width="14.7109375" style="76" customWidth="1"/>
    <col min="6659" max="6659" width="14.42578125" style="76" customWidth="1"/>
    <col min="6660" max="6660" width="13.85546875" style="76" customWidth="1"/>
    <col min="6661" max="6664" width="15.28515625" style="76" customWidth="1"/>
    <col min="6665" max="6665" width="15" style="76" customWidth="1"/>
    <col min="6666" max="6666" width="18.85546875" style="76" customWidth="1"/>
    <col min="6667" max="6668" width="18.140625" style="76" customWidth="1"/>
    <col min="6669" max="6669" width="18.7109375" style="76" customWidth="1"/>
    <col min="6670" max="6670" width="17.28515625" style="76" customWidth="1"/>
    <col min="6671" max="6671" width="4.28515625" style="76" customWidth="1"/>
    <col min="6672" max="6905" width="11.5703125" style="76"/>
    <col min="6906" max="6906" width="37.5703125" style="76" customWidth="1"/>
    <col min="6907" max="6907" width="16.28515625" style="76" customWidth="1"/>
    <col min="6908" max="6908" width="16.42578125" style="76" customWidth="1"/>
    <col min="6909" max="6909" width="14.42578125" style="76" customWidth="1"/>
    <col min="6910" max="6910" width="14.7109375" style="76" customWidth="1"/>
    <col min="6911" max="6913" width="14.28515625" style="76" customWidth="1"/>
    <col min="6914" max="6914" width="14.7109375" style="76" customWidth="1"/>
    <col min="6915" max="6915" width="14.42578125" style="76" customWidth="1"/>
    <col min="6916" max="6916" width="13.85546875" style="76" customWidth="1"/>
    <col min="6917" max="6920" width="15.28515625" style="76" customWidth="1"/>
    <col min="6921" max="6921" width="15" style="76" customWidth="1"/>
    <col min="6922" max="6922" width="18.85546875" style="76" customWidth="1"/>
    <col min="6923" max="6924" width="18.140625" style="76" customWidth="1"/>
    <col min="6925" max="6925" width="18.7109375" style="76" customWidth="1"/>
    <col min="6926" max="6926" width="17.28515625" style="76" customWidth="1"/>
    <col min="6927" max="6927" width="4.28515625" style="76" customWidth="1"/>
    <col min="6928" max="7161" width="11.5703125" style="76"/>
    <col min="7162" max="7162" width="37.5703125" style="76" customWidth="1"/>
    <col min="7163" max="7163" width="16.28515625" style="76" customWidth="1"/>
    <col min="7164" max="7164" width="16.42578125" style="76" customWidth="1"/>
    <col min="7165" max="7165" width="14.42578125" style="76" customWidth="1"/>
    <col min="7166" max="7166" width="14.7109375" style="76" customWidth="1"/>
    <col min="7167" max="7169" width="14.28515625" style="76" customWidth="1"/>
    <col min="7170" max="7170" width="14.7109375" style="76" customWidth="1"/>
    <col min="7171" max="7171" width="14.42578125" style="76" customWidth="1"/>
    <col min="7172" max="7172" width="13.85546875" style="76" customWidth="1"/>
    <col min="7173" max="7176" width="15.28515625" style="76" customWidth="1"/>
    <col min="7177" max="7177" width="15" style="76" customWidth="1"/>
    <col min="7178" max="7178" width="18.85546875" style="76" customWidth="1"/>
    <col min="7179" max="7180" width="18.140625" style="76" customWidth="1"/>
    <col min="7181" max="7181" width="18.7109375" style="76" customWidth="1"/>
    <col min="7182" max="7182" width="17.28515625" style="76" customWidth="1"/>
    <col min="7183" max="7183" width="4.28515625" style="76" customWidth="1"/>
    <col min="7184" max="7417" width="11.5703125" style="76"/>
    <col min="7418" max="7418" width="37.5703125" style="76" customWidth="1"/>
    <col min="7419" max="7419" width="16.28515625" style="76" customWidth="1"/>
    <col min="7420" max="7420" width="16.42578125" style="76" customWidth="1"/>
    <col min="7421" max="7421" width="14.42578125" style="76" customWidth="1"/>
    <col min="7422" max="7422" width="14.7109375" style="76" customWidth="1"/>
    <col min="7423" max="7425" width="14.28515625" style="76" customWidth="1"/>
    <col min="7426" max="7426" width="14.7109375" style="76" customWidth="1"/>
    <col min="7427" max="7427" width="14.42578125" style="76" customWidth="1"/>
    <col min="7428" max="7428" width="13.85546875" style="76" customWidth="1"/>
    <col min="7429" max="7432" width="15.28515625" style="76" customWidth="1"/>
    <col min="7433" max="7433" width="15" style="76" customWidth="1"/>
    <col min="7434" max="7434" width="18.85546875" style="76" customWidth="1"/>
    <col min="7435" max="7436" width="18.140625" style="76" customWidth="1"/>
    <col min="7437" max="7437" width="18.7109375" style="76" customWidth="1"/>
    <col min="7438" max="7438" width="17.28515625" style="76" customWidth="1"/>
    <col min="7439" max="7439" width="4.28515625" style="76" customWidth="1"/>
    <col min="7440" max="7673" width="11.5703125" style="76"/>
    <col min="7674" max="7674" width="37.5703125" style="76" customWidth="1"/>
    <col min="7675" max="7675" width="16.28515625" style="76" customWidth="1"/>
    <col min="7676" max="7676" width="16.42578125" style="76" customWidth="1"/>
    <col min="7677" max="7677" width="14.42578125" style="76" customWidth="1"/>
    <col min="7678" max="7678" width="14.7109375" style="76" customWidth="1"/>
    <col min="7679" max="7681" width="14.28515625" style="76" customWidth="1"/>
    <col min="7682" max="7682" width="14.7109375" style="76" customWidth="1"/>
    <col min="7683" max="7683" width="14.42578125" style="76" customWidth="1"/>
    <col min="7684" max="7684" width="13.85546875" style="76" customWidth="1"/>
    <col min="7685" max="7688" width="15.28515625" style="76" customWidth="1"/>
    <col min="7689" max="7689" width="15" style="76" customWidth="1"/>
    <col min="7690" max="7690" width="18.85546875" style="76" customWidth="1"/>
    <col min="7691" max="7692" width="18.140625" style="76" customWidth="1"/>
    <col min="7693" max="7693" width="18.7109375" style="76" customWidth="1"/>
    <col min="7694" max="7694" width="17.28515625" style="76" customWidth="1"/>
    <col min="7695" max="7695" width="4.28515625" style="76" customWidth="1"/>
    <col min="7696" max="7929" width="11.5703125" style="76"/>
    <col min="7930" max="7930" width="37.5703125" style="76" customWidth="1"/>
    <col min="7931" max="7931" width="16.28515625" style="76" customWidth="1"/>
    <col min="7932" max="7932" width="16.42578125" style="76" customWidth="1"/>
    <col min="7933" max="7933" width="14.42578125" style="76" customWidth="1"/>
    <col min="7934" max="7934" width="14.7109375" style="76" customWidth="1"/>
    <col min="7935" max="7937" width="14.28515625" style="76" customWidth="1"/>
    <col min="7938" max="7938" width="14.7109375" style="76" customWidth="1"/>
    <col min="7939" max="7939" width="14.42578125" style="76" customWidth="1"/>
    <col min="7940" max="7940" width="13.85546875" style="76" customWidth="1"/>
    <col min="7941" max="7944" width="15.28515625" style="76" customWidth="1"/>
    <col min="7945" max="7945" width="15" style="76" customWidth="1"/>
    <col min="7946" max="7946" width="18.85546875" style="76" customWidth="1"/>
    <col min="7947" max="7948" width="18.140625" style="76" customWidth="1"/>
    <col min="7949" max="7949" width="18.7109375" style="76" customWidth="1"/>
    <col min="7950" max="7950" width="17.28515625" style="76" customWidth="1"/>
    <col min="7951" max="7951" width="4.28515625" style="76" customWidth="1"/>
    <col min="7952" max="8185" width="11.5703125" style="76"/>
    <col min="8186" max="8186" width="37.5703125" style="76" customWidth="1"/>
    <col min="8187" max="8187" width="16.28515625" style="76" customWidth="1"/>
    <col min="8188" max="8188" width="16.42578125" style="76" customWidth="1"/>
    <col min="8189" max="8189" width="14.42578125" style="76" customWidth="1"/>
    <col min="8190" max="8190" width="14.7109375" style="76" customWidth="1"/>
    <col min="8191" max="8193" width="14.28515625" style="76" customWidth="1"/>
    <col min="8194" max="8194" width="14.7109375" style="76" customWidth="1"/>
    <col min="8195" max="8195" width="14.42578125" style="76" customWidth="1"/>
    <col min="8196" max="8196" width="13.85546875" style="76" customWidth="1"/>
    <col min="8197" max="8200" width="15.28515625" style="76" customWidth="1"/>
    <col min="8201" max="8201" width="15" style="76" customWidth="1"/>
    <col min="8202" max="8202" width="18.85546875" style="76" customWidth="1"/>
    <col min="8203" max="8204" width="18.140625" style="76" customWidth="1"/>
    <col min="8205" max="8205" width="18.7109375" style="76" customWidth="1"/>
    <col min="8206" max="8206" width="17.28515625" style="76" customWidth="1"/>
    <col min="8207" max="8207" width="4.28515625" style="76" customWidth="1"/>
    <col min="8208" max="8441" width="11.5703125" style="76"/>
    <col min="8442" max="8442" width="37.5703125" style="76" customWidth="1"/>
    <col min="8443" max="8443" width="16.28515625" style="76" customWidth="1"/>
    <col min="8444" max="8444" width="16.42578125" style="76" customWidth="1"/>
    <col min="8445" max="8445" width="14.42578125" style="76" customWidth="1"/>
    <col min="8446" max="8446" width="14.7109375" style="76" customWidth="1"/>
    <col min="8447" max="8449" width="14.28515625" style="76" customWidth="1"/>
    <col min="8450" max="8450" width="14.7109375" style="76" customWidth="1"/>
    <col min="8451" max="8451" width="14.42578125" style="76" customWidth="1"/>
    <col min="8452" max="8452" width="13.85546875" style="76" customWidth="1"/>
    <col min="8453" max="8456" width="15.28515625" style="76" customWidth="1"/>
    <col min="8457" max="8457" width="15" style="76" customWidth="1"/>
    <col min="8458" max="8458" width="18.85546875" style="76" customWidth="1"/>
    <col min="8459" max="8460" width="18.140625" style="76" customWidth="1"/>
    <col min="8461" max="8461" width="18.7109375" style="76" customWidth="1"/>
    <col min="8462" max="8462" width="17.28515625" style="76" customWidth="1"/>
    <col min="8463" max="8463" width="4.28515625" style="76" customWidth="1"/>
    <col min="8464" max="8697" width="11.5703125" style="76"/>
    <col min="8698" max="8698" width="37.5703125" style="76" customWidth="1"/>
    <col min="8699" max="8699" width="16.28515625" style="76" customWidth="1"/>
    <col min="8700" max="8700" width="16.42578125" style="76" customWidth="1"/>
    <col min="8701" max="8701" width="14.42578125" style="76" customWidth="1"/>
    <col min="8702" max="8702" width="14.7109375" style="76" customWidth="1"/>
    <col min="8703" max="8705" width="14.28515625" style="76" customWidth="1"/>
    <col min="8706" max="8706" width="14.7109375" style="76" customWidth="1"/>
    <col min="8707" max="8707" width="14.42578125" style="76" customWidth="1"/>
    <col min="8708" max="8708" width="13.85546875" style="76" customWidth="1"/>
    <col min="8709" max="8712" width="15.28515625" style="76" customWidth="1"/>
    <col min="8713" max="8713" width="15" style="76" customWidth="1"/>
    <col min="8714" max="8714" width="18.85546875" style="76" customWidth="1"/>
    <col min="8715" max="8716" width="18.140625" style="76" customWidth="1"/>
    <col min="8717" max="8717" width="18.7109375" style="76" customWidth="1"/>
    <col min="8718" max="8718" width="17.28515625" style="76" customWidth="1"/>
    <col min="8719" max="8719" width="4.28515625" style="76" customWidth="1"/>
    <col min="8720" max="8953" width="11.5703125" style="76"/>
    <col min="8954" max="8954" width="37.5703125" style="76" customWidth="1"/>
    <col min="8955" max="8955" width="16.28515625" style="76" customWidth="1"/>
    <col min="8956" max="8956" width="16.42578125" style="76" customWidth="1"/>
    <col min="8957" max="8957" width="14.42578125" style="76" customWidth="1"/>
    <col min="8958" max="8958" width="14.7109375" style="76" customWidth="1"/>
    <col min="8959" max="8961" width="14.28515625" style="76" customWidth="1"/>
    <col min="8962" max="8962" width="14.7109375" style="76" customWidth="1"/>
    <col min="8963" max="8963" width="14.42578125" style="76" customWidth="1"/>
    <col min="8964" max="8964" width="13.85546875" style="76" customWidth="1"/>
    <col min="8965" max="8968" width="15.28515625" style="76" customWidth="1"/>
    <col min="8969" max="8969" width="15" style="76" customWidth="1"/>
    <col min="8970" max="8970" width="18.85546875" style="76" customWidth="1"/>
    <col min="8971" max="8972" width="18.140625" style="76" customWidth="1"/>
    <col min="8973" max="8973" width="18.7109375" style="76" customWidth="1"/>
    <col min="8974" max="8974" width="17.28515625" style="76" customWidth="1"/>
    <col min="8975" max="8975" width="4.28515625" style="76" customWidth="1"/>
    <col min="8976" max="9209" width="11.5703125" style="76"/>
    <col min="9210" max="9210" width="37.5703125" style="76" customWidth="1"/>
    <col min="9211" max="9211" width="16.28515625" style="76" customWidth="1"/>
    <col min="9212" max="9212" width="16.42578125" style="76" customWidth="1"/>
    <col min="9213" max="9213" width="14.42578125" style="76" customWidth="1"/>
    <col min="9214" max="9214" width="14.7109375" style="76" customWidth="1"/>
    <col min="9215" max="9217" width="14.28515625" style="76" customWidth="1"/>
    <col min="9218" max="9218" width="14.7109375" style="76" customWidth="1"/>
    <col min="9219" max="9219" width="14.42578125" style="76" customWidth="1"/>
    <col min="9220" max="9220" width="13.85546875" style="76" customWidth="1"/>
    <col min="9221" max="9224" width="15.28515625" style="76" customWidth="1"/>
    <col min="9225" max="9225" width="15" style="76" customWidth="1"/>
    <col min="9226" max="9226" width="18.85546875" style="76" customWidth="1"/>
    <col min="9227" max="9228" width="18.140625" style="76" customWidth="1"/>
    <col min="9229" max="9229" width="18.7109375" style="76" customWidth="1"/>
    <col min="9230" max="9230" width="17.28515625" style="76" customWidth="1"/>
    <col min="9231" max="9231" width="4.28515625" style="76" customWidth="1"/>
    <col min="9232" max="9465" width="11.5703125" style="76"/>
    <col min="9466" max="9466" width="37.5703125" style="76" customWidth="1"/>
    <col min="9467" max="9467" width="16.28515625" style="76" customWidth="1"/>
    <col min="9468" max="9468" width="16.42578125" style="76" customWidth="1"/>
    <col min="9469" max="9469" width="14.42578125" style="76" customWidth="1"/>
    <col min="9470" max="9470" width="14.7109375" style="76" customWidth="1"/>
    <col min="9471" max="9473" width="14.28515625" style="76" customWidth="1"/>
    <col min="9474" max="9474" width="14.7109375" style="76" customWidth="1"/>
    <col min="9475" max="9475" width="14.42578125" style="76" customWidth="1"/>
    <col min="9476" max="9476" width="13.85546875" style="76" customWidth="1"/>
    <col min="9477" max="9480" width="15.28515625" style="76" customWidth="1"/>
    <col min="9481" max="9481" width="15" style="76" customWidth="1"/>
    <col min="9482" max="9482" width="18.85546875" style="76" customWidth="1"/>
    <col min="9483" max="9484" width="18.140625" style="76" customWidth="1"/>
    <col min="9485" max="9485" width="18.7109375" style="76" customWidth="1"/>
    <col min="9486" max="9486" width="17.28515625" style="76" customWidth="1"/>
    <col min="9487" max="9487" width="4.28515625" style="76" customWidth="1"/>
    <col min="9488" max="9721" width="11.5703125" style="76"/>
    <col min="9722" max="9722" width="37.5703125" style="76" customWidth="1"/>
    <col min="9723" max="9723" width="16.28515625" style="76" customWidth="1"/>
    <col min="9724" max="9724" width="16.42578125" style="76" customWidth="1"/>
    <col min="9725" max="9725" width="14.42578125" style="76" customWidth="1"/>
    <col min="9726" max="9726" width="14.7109375" style="76" customWidth="1"/>
    <col min="9727" max="9729" width="14.28515625" style="76" customWidth="1"/>
    <col min="9730" max="9730" width="14.7109375" style="76" customWidth="1"/>
    <col min="9731" max="9731" width="14.42578125" style="76" customWidth="1"/>
    <col min="9732" max="9732" width="13.85546875" style="76" customWidth="1"/>
    <col min="9733" max="9736" width="15.28515625" style="76" customWidth="1"/>
    <col min="9737" max="9737" width="15" style="76" customWidth="1"/>
    <col min="9738" max="9738" width="18.85546875" style="76" customWidth="1"/>
    <col min="9739" max="9740" width="18.140625" style="76" customWidth="1"/>
    <col min="9741" max="9741" width="18.7109375" style="76" customWidth="1"/>
    <col min="9742" max="9742" width="17.28515625" style="76" customWidth="1"/>
    <col min="9743" max="9743" width="4.28515625" style="76" customWidth="1"/>
    <col min="9744" max="9977" width="11.5703125" style="76"/>
    <col min="9978" max="9978" width="37.5703125" style="76" customWidth="1"/>
    <col min="9979" max="9979" width="16.28515625" style="76" customWidth="1"/>
    <col min="9980" max="9980" width="16.42578125" style="76" customWidth="1"/>
    <col min="9981" max="9981" width="14.42578125" style="76" customWidth="1"/>
    <col min="9982" max="9982" width="14.7109375" style="76" customWidth="1"/>
    <col min="9983" max="9985" width="14.28515625" style="76" customWidth="1"/>
    <col min="9986" max="9986" width="14.7109375" style="76" customWidth="1"/>
    <col min="9987" max="9987" width="14.42578125" style="76" customWidth="1"/>
    <col min="9988" max="9988" width="13.85546875" style="76" customWidth="1"/>
    <col min="9989" max="9992" width="15.28515625" style="76" customWidth="1"/>
    <col min="9993" max="9993" width="15" style="76" customWidth="1"/>
    <col min="9994" max="9994" width="18.85546875" style="76" customWidth="1"/>
    <col min="9995" max="9996" width="18.140625" style="76" customWidth="1"/>
    <col min="9997" max="9997" width="18.7109375" style="76" customWidth="1"/>
    <col min="9998" max="9998" width="17.28515625" style="76" customWidth="1"/>
    <col min="9999" max="9999" width="4.28515625" style="76" customWidth="1"/>
    <col min="10000" max="10233" width="11.5703125" style="76"/>
    <col min="10234" max="10234" width="37.5703125" style="76" customWidth="1"/>
    <col min="10235" max="10235" width="16.28515625" style="76" customWidth="1"/>
    <col min="10236" max="10236" width="16.42578125" style="76" customWidth="1"/>
    <col min="10237" max="10237" width="14.42578125" style="76" customWidth="1"/>
    <col min="10238" max="10238" width="14.7109375" style="76" customWidth="1"/>
    <col min="10239" max="10241" width="14.28515625" style="76" customWidth="1"/>
    <col min="10242" max="10242" width="14.7109375" style="76" customWidth="1"/>
    <col min="10243" max="10243" width="14.42578125" style="76" customWidth="1"/>
    <col min="10244" max="10244" width="13.85546875" style="76" customWidth="1"/>
    <col min="10245" max="10248" width="15.28515625" style="76" customWidth="1"/>
    <col min="10249" max="10249" width="15" style="76" customWidth="1"/>
    <col min="10250" max="10250" width="18.85546875" style="76" customWidth="1"/>
    <col min="10251" max="10252" width="18.140625" style="76" customWidth="1"/>
    <col min="10253" max="10253" width="18.7109375" style="76" customWidth="1"/>
    <col min="10254" max="10254" width="17.28515625" style="76" customWidth="1"/>
    <col min="10255" max="10255" width="4.28515625" style="76" customWidth="1"/>
    <col min="10256" max="10489" width="11.5703125" style="76"/>
    <col min="10490" max="10490" width="37.5703125" style="76" customWidth="1"/>
    <col min="10491" max="10491" width="16.28515625" style="76" customWidth="1"/>
    <col min="10492" max="10492" width="16.42578125" style="76" customWidth="1"/>
    <col min="10493" max="10493" width="14.42578125" style="76" customWidth="1"/>
    <col min="10494" max="10494" width="14.7109375" style="76" customWidth="1"/>
    <col min="10495" max="10497" width="14.28515625" style="76" customWidth="1"/>
    <col min="10498" max="10498" width="14.7109375" style="76" customWidth="1"/>
    <col min="10499" max="10499" width="14.42578125" style="76" customWidth="1"/>
    <col min="10500" max="10500" width="13.85546875" style="76" customWidth="1"/>
    <col min="10501" max="10504" width="15.28515625" style="76" customWidth="1"/>
    <col min="10505" max="10505" width="15" style="76" customWidth="1"/>
    <col min="10506" max="10506" width="18.85546875" style="76" customWidth="1"/>
    <col min="10507" max="10508" width="18.140625" style="76" customWidth="1"/>
    <col min="10509" max="10509" width="18.7109375" style="76" customWidth="1"/>
    <col min="10510" max="10510" width="17.28515625" style="76" customWidth="1"/>
    <col min="10511" max="10511" width="4.28515625" style="76" customWidth="1"/>
    <col min="10512" max="10745" width="11.5703125" style="76"/>
    <col min="10746" max="10746" width="37.5703125" style="76" customWidth="1"/>
    <col min="10747" max="10747" width="16.28515625" style="76" customWidth="1"/>
    <col min="10748" max="10748" width="16.42578125" style="76" customWidth="1"/>
    <col min="10749" max="10749" width="14.42578125" style="76" customWidth="1"/>
    <col min="10750" max="10750" width="14.7109375" style="76" customWidth="1"/>
    <col min="10751" max="10753" width="14.28515625" style="76" customWidth="1"/>
    <col min="10754" max="10754" width="14.7109375" style="76" customWidth="1"/>
    <col min="10755" max="10755" width="14.42578125" style="76" customWidth="1"/>
    <col min="10756" max="10756" width="13.85546875" style="76" customWidth="1"/>
    <col min="10757" max="10760" width="15.28515625" style="76" customWidth="1"/>
    <col min="10761" max="10761" width="15" style="76" customWidth="1"/>
    <col min="10762" max="10762" width="18.85546875" style="76" customWidth="1"/>
    <col min="10763" max="10764" width="18.140625" style="76" customWidth="1"/>
    <col min="10765" max="10765" width="18.7109375" style="76" customWidth="1"/>
    <col min="10766" max="10766" width="17.28515625" style="76" customWidth="1"/>
    <col min="10767" max="10767" width="4.28515625" style="76" customWidth="1"/>
    <col min="10768" max="11001" width="11.5703125" style="76"/>
    <col min="11002" max="11002" width="37.5703125" style="76" customWidth="1"/>
    <col min="11003" max="11003" width="16.28515625" style="76" customWidth="1"/>
    <col min="11004" max="11004" width="16.42578125" style="76" customWidth="1"/>
    <col min="11005" max="11005" width="14.42578125" style="76" customWidth="1"/>
    <col min="11006" max="11006" width="14.7109375" style="76" customWidth="1"/>
    <col min="11007" max="11009" width="14.28515625" style="76" customWidth="1"/>
    <col min="11010" max="11010" width="14.7109375" style="76" customWidth="1"/>
    <col min="11011" max="11011" width="14.42578125" style="76" customWidth="1"/>
    <col min="11012" max="11012" width="13.85546875" style="76" customWidth="1"/>
    <col min="11013" max="11016" width="15.28515625" style="76" customWidth="1"/>
    <col min="11017" max="11017" width="15" style="76" customWidth="1"/>
    <col min="11018" max="11018" width="18.85546875" style="76" customWidth="1"/>
    <col min="11019" max="11020" width="18.140625" style="76" customWidth="1"/>
    <col min="11021" max="11021" width="18.7109375" style="76" customWidth="1"/>
    <col min="11022" max="11022" width="17.28515625" style="76" customWidth="1"/>
    <col min="11023" max="11023" width="4.28515625" style="76" customWidth="1"/>
    <col min="11024" max="11257" width="11.5703125" style="76"/>
    <col min="11258" max="11258" width="37.5703125" style="76" customWidth="1"/>
    <col min="11259" max="11259" width="16.28515625" style="76" customWidth="1"/>
    <col min="11260" max="11260" width="16.42578125" style="76" customWidth="1"/>
    <col min="11261" max="11261" width="14.42578125" style="76" customWidth="1"/>
    <col min="11262" max="11262" width="14.7109375" style="76" customWidth="1"/>
    <col min="11263" max="11265" width="14.28515625" style="76" customWidth="1"/>
    <col min="11266" max="11266" width="14.7109375" style="76" customWidth="1"/>
    <col min="11267" max="11267" width="14.42578125" style="76" customWidth="1"/>
    <col min="11268" max="11268" width="13.85546875" style="76" customWidth="1"/>
    <col min="11269" max="11272" width="15.28515625" style="76" customWidth="1"/>
    <col min="11273" max="11273" width="15" style="76" customWidth="1"/>
    <col min="11274" max="11274" width="18.85546875" style="76" customWidth="1"/>
    <col min="11275" max="11276" width="18.140625" style="76" customWidth="1"/>
    <col min="11277" max="11277" width="18.7109375" style="76" customWidth="1"/>
    <col min="11278" max="11278" width="17.28515625" style="76" customWidth="1"/>
    <col min="11279" max="11279" width="4.28515625" style="76" customWidth="1"/>
    <col min="11280" max="11513" width="11.5703125" style="76"/>
    <col min="11514" max="11514" width="37.5703125" style="76" customWidth="1"/>
    <col min="11515" max="11515" width="16.28515625" style="76" customWidth="1"/>
    <col min="11516" max="11516" width="16.42578125" style="76" customWidth="1"/>
    <col min="11517" max="11517" width="14.42578125" style="76" customWidth="1"/>
    <col min="11518" max="11518" width="14.7109375" style="76" customWidth="1"/>
    <col min="11519" max="11521" width="14.28515625" style="76" customWidth="1"/>
    <col min="11522" max="11522" width="14.7109375" style="76" customWidth="1"/>
    <col min="11523" max="11523" width="14.42578125" style="76" customWidth="1"/>
    <col min="11524" max="11524" width="13.85546875" style="76" customWidth="1"/>
    <col min="11525" max="11528" width="15.28515625" style="76" customWidth="1"/>
    <col min="11529" max="11529" width="15" style="76" customWidth="1"/>
    <col min="11530" max="11530" width="18.85546875" style="76" customWidth="1"/>
    <col min="11531" max="11532" width="18.140625" style="76" customWidth="1"/>
    <col min="11533" max="11533" width="18.7109375" style="76" customWidth="1"/>
    <col min="11534" max="11534" width="17.28515625" style="76" customWidth="1"/>
    <col min="11535" max="11535" width="4.28515625" style="76" customWidth="1"/>
    <col min="11536" max="11769" width="11.5703125" style="76"/>
    <col min="11770" max="11770" width="37.5703125" style="76" customWidth="1"/>
    <col min="11771" max="11771" width="16.28515625" style="76" customWidth="1"/>
    <col min="11772" max="11772" width="16.42578125" style="76" customWidth="1"/>
    <col min="11773" max="11773" width="14.42578125" style="76" customWidth="1"/>
    <col min="11774" max="11774" width="14.7109375" style="76" customWidth="1"/>
    <col min="11775" max="11777" width="14.28515625" style="76" customWidth="1"/>
    <col min="11778" max="11778" width="14.7109375" style="76" customWidth="1"/>
    <col min="11779" max="11779" width="14.42578125" style="76" customWidth="1"/>
    <col min="11780" max="11780" width="13.85546875" style="76" customWidth="1"/>
    <col min="11781" max="11784" width="15.28515625" style="76" customWidth="1"/>
    <col min="11785" max="11785" width="15" style="76" customWidth="1"/>
    <col min="11786" max="11786" width="18.85546875" style="76" customWidth="1"/>
    <col min="11787" max="11788" width="18.140625" style="76" customWidth="1"/>
    <col min="11789" max="11789" width="18.7109375" style="76" customWidth="1"/>
    <col min="11790" max="11790" width="17.28515625" style="76" customWidth="1"/>
    <col min="11791" max="11791" width="4.28515625" style="76" customWidth="1"/>
    <col min="11792" max="12025" width="11.5703125" style="76"/>
    <col min="12026" max="12026" width="37.5703125" style="76" customWidth="1"/>
    <col min="12027" max="12027" width="16.28515625" style="76" customWidth="1"/>
    <col min="12028" max="12028" width="16.42578125" style="76" customWidth="1"/>
    <col min="12029" max="12029" width="14.42578125" style="76" customWidth="1"/>
    <col min="12030" max="12030" width="14.7109375" style="76" customWidth="1"/>
    <col min="12031" max="12033" width="14.28515625" style="76" customWidth="1"/>
    <col min="12034" max="12034" width="14.7109375" style="76" customWidth="1"/>
    <col min="12035" max="12035" width="14.42578125" style="76" customWidth="1"/>
    <col min="12036" max="12036" width="13.85546875" style="76" customWidth="1"/>
    <col min="12037" max="12040" width="15.28515625" style="76" customWidth="1"/>
    <col min="12041" max="12041" width="15" style="76" customWidth="1"/>
    <col min="12042" max="12042" width="18.85546875" style="76" customWidth="1"/>
    <col min="12043" max="12044" width="18.140625" style="76" customWidth="1"/>
    <col min="12045" max="12045" width="18.7109375" style="76" customWidth="1"/>
    <col min="12046" max="12046" width="17.28515625" style="76" customWidth="1"/>
    <col min="12047" max="12047" width="4.28515625" style="76" customWidth="1"/>
    <col min="12048" max="12281" width="11.5703125" style="76"/>
    <col min="12282" max="12282" width="37.5703125" style="76" customWidth="1"/>
    <col min="12283" max="12283" width="16.28515625" style="76" customWidth="1"/>
    <col min="12284" max="12284" width="16.42578125" style="76" customWidth="1"/>
    <col min="12285" max="12285" width="14.42578125" style="76" customWidth="1"/>
    <col min="12286" max="12286" width="14.7109375" style="76" customWidth="1"/>
    <col min="12287" max="12289" width="14.28515625" style="76" customWidth="1"/>
    <col min="12290" max="12290" width="14.7109375" style="76" customWidth="1"/>
    <col min="12291" max="12291" width="14.42578125" style="76" customWidth="1"/>
    <col min="12292" max="12292" width="13.85546875" style="76" customWidth="1"/>
    <col min="12293" max="12296" width="15.28515625" style="76" customWidth="1"/>
    <col min="12297" max="12297" width="15" style="76" customWidth="1"/>
    <col min="12298" max="12298" width="18.85546875" style="76" customWidth="1"/>
    <col min="12299" max="12300" width="18.140625" style="76" customWidth="1"/>
    <col min="12301" max="12301" width="18.7109375" style="76" customWidth="1"/>
    <col min="12302" max="12302" width="17.28515625" style="76" customWidth="1"/>
    <col min="12303" max="12303" width="4.28515625" style="76" customWidth="1"/>
    <col min="12304" max="12537" width="11.5703125" style="76"/>
    <col min="12538" max="12538" width="37.5703125" style="76" customWidth="1"/>
    <col min="12539" max="12539" width="16.28515625" style="76" customWidth="1"/>
    <col min="12540" max="12540" width="16.42578125" style="76" customWidth="1"/>
    <col min="12541" max="12541" width="14.42578125" style="76" customWidth="1"/>
    <col min="12542" max="12542" width="14.7109375" style="76" customWidth="1"/>
    <col min="12543" max="12545" width="14.28515625" style="76" customWidth="1"/>
    <col min="12546" max="12546" width="14.7109375" style="76" customWidth="1"/>
    <col min="12547" max="12547" width="14.42578125" style="76" customWidth="1"/>
    <col min="12548" max="12548" width="13.85546875" style="76" customWidth="1"/>
    <col min="12549" max="12552" width="15.28515625" style="76" customWidth="1"/>
    <col min="12553" max="12553" width="15" style="76" customWidth="1"/>
    <col min="12554" max="12554" width="18.85546875" style="76" customWidth="1"/>
    <col min="12555" max="12556" width="18.140625" style="76" customWidth="1"/>
    <col min="12557" max="12557" width="18.7109375" style="76" customWidth="1"/>
    <col min="12558" max="12558" width="17.28515625" style="76" customWidth="1"/>
    <col min="12559" max="12559" width="4.28515625" style="76" customWidth="1"/>
    <col min="12560" max="12793" width="11.5703125" style="76"/>
    <col min="12794" max="12794" width="37.5703125" style="76" customWidth="1"/>
    <col min="12795" max="12795" width="16.28515625" style="76" customWidth="1"/>
    <col min="12796" max="12796" width="16.42578125" style="76" customWidth="1"/>
    <col min="12797" max="12797" width="14.42578125" style="76" customWidth="1"/>
    <col min="12798" max="12798" width="14.7109375" style="76" customWidth="1"/>
    <col min="12799" max="12801" width="14.28515625" style="76" customWidth="1"/>
    <col min="12802" max="12802" width="14.7109375" style="76" customWidth="1"/>
    <col min="12803" max="12803" width="14.42578125" style="76" customWidth="1"/>
    <col min="12804" max="12804" width="13.85546875" style="76" customWidth="1"/>
    <col min="12805" max="12808" width="15.28515625" style="76" customWidth="1"/>
    <col min="12809" max="12809" width="15" style="76" customWidth="1"/>
    <col min="12810" max="12810" width="18.85546875" style="76" customWidth="1"/>
    <col min="12811" max="12812" width="18.140625" style="76" customWidth="1"/>
    <col min="12813" max="12813" width="18.7109375" style="76" customWidth="1"/>
    <col min="12814" max="12814" width="17.28515625" style="76" customWidth="1"/>
    <col min="12815" max="12815" width="4.28515625" style="76" customWidth="1"/>
    <col min="12816" max="13049" width="11.5703125" style="76"/>
    <col min="13050" max="13050" width="37.5703125" style="76" customWidth="1"/>
    <col min="13051" max="13051" width="16.28515625" style="76" customWidth="1"/>
    <col min="13052" max="13052" width="16.42578125" style="76" customWidth="1"/>
    <col min="13053" max="13053" width="14.42578125" style="76" customWidth="1"/>
    <col min="13054" max="13054" width="14.7109375" style="76" customWidth="1"/>
    <col min="13055" max="13057" width="14.28515625" style="76" customWidth="1"/>
    <col min="13058" max="13058" width="14.7109375" style="76" customWidth="1"/>
    <col min="13059" max="13059" width="14.42578125" style="76" customWidth="1"/>
    <col min="13060" max="13060" width="13.85546875" style="76" customWidth="1"/>
    <col min="13061" max="13064" width="15.28515625" style="76" customWidth="1"/>
    <col min="13065" max="13065" width="15" style="76" customWidth="1"/>
    <col min="13066" max="13066" width="18.85546875" style="76" customWidth="1"/>
    <col min="13067" max="13068" width="18.140625" style="76" customWidth="1"/>
    <col min="13069" max="13069" width="18.7109375" style="76" customWidth="1"/>
    <col min="13070" max="13070" width="17.28515625" style="76" customWidth="1"/>
    <col min="13071" max="13071" width="4.28515625" style="76" customWidth="1"/>
    <col min="13072" max="13305" width="11.5703125" style="76"/>
    <col min="13306" max="13306" width="37.5703125" style="76" customWidth="1"/>
    <col min="13307" max="13307" width="16.28515625" style="76" customWidth="1"/>
    <col min="13308" max="13308" width="16.42578125" style="76" customWidth="1"/>
    <col min="13309" max="13309" width="14.42578125" style="76" customWidth="1"/>
    <col min="13310" max="13310" width="14.7109375" style="76" customWidth="1"/>
    <col min="13311" max="13313" width="14.28515625" style="76" customWidth="1"/>
    <col min="13314" max="13314" width="14.7109375" style="76" customWidth="1"/>
    <col min="13315" max="13315" width="14.42578125" style="76" customWidth="1"/>
    <col min="13316" max="13316" width="13.85546875" style="76" customWidth="1"/>
    <col min="13317" max="13320" width="15.28515625" style="76" customWidth="1"/>
    <col min="13321" max="13321" width="15" style="76" customWidth="1"/>
    <col min="13322" max="13322" width="18.85546875" style="76" customWidth="1"/>
    <col min="13323" max="13324" width="18.140625" style="76" customWidth="1"/>
    <col min="13325" max="13325" width="18.7109375" style="76" customWidth="1"/>
    <col min="13326" max="13326" width="17.28515625" style="76" customWidth="1"/>
    <col min="13327" max="13327" width="4.28515625" style="76" customWidth="1"/>
    <col min="13328" max="13561" width="11.5703125" style="76"/>
    <col min="13562" max="13562" width="37.5703125" style="76" customWidth="1"/>
    <col min="13563" max="13563" width="16.28515625" style="76" customWidth="1"/>
    <col min="13564" max="13564" width="16.42578125" style="76" customWidth="1"/>
    <col min="13565" max="13565" width="14.42578125" style="76" customWidth="1"/>
    <col min="13566" max="13566" width="14.7109375" style="76" customWidth="1"/>
    <col min="13567" max="13569" width="14.28515625" style="76" customWidth="1"/>
    <col min="13570" max="13570" width="14.7109375" style="76" customWidth="1"/>
    <col min="13571" max="13571" width="14.42578125" style="76" customWidth="1"/>
    <col min="13572" max="13572" width="13.85546875" style="76" customWidth="1"/>
    <col min="13573" max="13576" width="15.28515625" style="76" customWidth="1"/>
    <col min="13577" max="13577" width="15" style="76" customWidth="1"/>
    <col min="13578" max="13578" width="18.85546875" style="76" customWidth="1"/>
    <col min="13579" max="13580" width="18.140625" style="76" customWidth="1"/>
    <col min="13581" max="13581" width="18.7109375" style="76" customWidth="1"/>
    <col min="13582" max="13582" width="17.28515625" style="76" customWidth="1"/>
    <col min="13583" max="13583" width="4.28515625" style="76" customWidth="1"/>
    <col min="13584" max="13817" width="11.5703125" style="76"/>
    <col min="13818" max="13818" width="37.5703125" style="76" customWidth="1"/>
    <col min="13819" max="13819" width="16.28515625" style="76" customWidth="1"/>
    <col min="13820" max="13820" width="16.42578125" style="76" customWidth="1"/>
    <col min="13821" max="13821" width="14.42578125" style="76" customWidth="1"/>
    <col min="13822" max="13822" width="14.7109375" style="76" customWidth="1"/>
    <col min="13823" max="13825" width="14.28515625" style="76" customWidth="1"/>
    <col min="13826" max="13826" width="14.7109375" style="76" customWidth="1"/>
    <col min="13827" max="13827" width="14.42578125" style="76" customWidth="1"/>
    <col min="13828" max="13828" width="13.85546875" style="76" customWidth="1"/>
    <col min="13829" max="13832" width="15.28515625" style="76" customWidth="1"/>
    <col min="13833" max="13833" width="15" style="76" customWidth="1"/>
    <col min="13834" max="13834" width="18.85546875" style="76" customWidth="1"/>
    <col min="13835" max="13836" width="18.140625" style="76" customWidth="1"/>
    <col min="13837" max="13837" width="18.7109375" style="76" customWidth="1"/>
    <col min="13838" max="13838" width="17.28515625" style="76" customWidth="1"/>
    <col min="13839" max="13839" width="4.28515625" style="76" customWidth="1"/>
    <col min="13840" max="14073" width="11.5703125" style="76"/>
    <col min="14074" max="14074" width="37.5703125" style="76" customWidth="1"/>
    <col min="14075" max="14075" width="16.28515625" style="76" customWidth="1"/>
    <col min="14076" max="14076" width="16.42578125" style="76" customWidth="1"/>
    <col min="14077" max="14077" width="14.42578125" style="76" customWidth="1"/>
    <col min="14078" max="14078" width="14.7109375" style="76" customWidth="1"/>
    <col min="14079" max="14081" width="14.28515625" style="76" customWidth="1"/>
    <col min="14082" max="14082" width="14.7109375" style="76" customWidth="1"/>
    <col min="14083" max="14083" width="14.42578125" style="76" customWidth="1"/>
    <col min="14084" max="14084" width="13.85546875" style="76" customWidth="1"/>
    <col min="14085" max="14088" width="15.28515625" style="76" customWidth="1"/>
    <col min="14089" max="14089" width="15" style="76" customWidth="1"/>
    <col min="14090" max="14090" width="18.85546875" style="76" customWidth="1"/>
    <col min="14091" max="14092" width="18.140625" style="76" customWidth="1"/>
    <col min="14093" max="14093" width="18.7109375" style="76" customWidth="1"/>
    <col min="14094" max="14094" width="17.28515625" style="76" customWidth="1"/>
    <col min="14095" max="14095" width="4.28515625" style="76" customWidth="1"/>
    <col min="14096" max="14329" width="11.5703125" style="76"/>
    <col min="14330" max="14330" width="37.5703125" style="76" customWidth="1"/>
    <col min="14331" max="14331" width="16.28515625" style="76" customWidth="1"/>
    <col min="14332" max="14332" width="16.42578125" style="76" customWidth="1"/>
    <col min="14333" max="14333" width="14.42578125" style="76" customWidth="1"/>
    <col min="14334" max="14334" width="14.7109375" style="76" customWidth="1"/>
    <col min="14335" max="14337" width="14.28515625" style="76" customWidth="1"/>
    <col min="14338" max="14338" width="14.7109375" style="76" customWidth="1"/>
    <col min="14339" max="14339" width="14.42578125" style="76" customWidth="1"/>
    <col min="14340" max="14340" width="13.85546875" style="76" customWidth="1"/>
    <col min="14341" max="14344" width="15.28515625" style="76" customWidth="1"/>
    <col min="14345" max="14345" width="15" style="76" customWidth="1"/>
    <col min="14346" max="14346" width="18.85546875" style="76" customWidth="1"/>
    <col min="14347" max="14348" width="18.140625" style="76" customWidth="1"/>
    <col min="14349" max="14349" width="18.7109375" style="76" customWidth="1"/>
    <col min="14350" max="14350" width="17.28515625" style="76" customWidth="1"/>
    <col min="14351" max="14351" width="4.28515625" style="76" customWidth="1"/>
    <col min="14352" max="14585" width="11.5703125" style="76"/>
    <col min="14586" max="14586" width="37.5703125" style="76" customWidth="1"/>
    <col min="14587" max="14587" width="16.28515625" style="76" customWidth="1"/>
    <col min="14588" max="14588" width="16.42578125" style="76" customWidth="1"/>
    <col min="14589" max="14589" width="14.42578125" style="76" customWidth="1"/>
    <col min="14590" max="14590" width="14.7109375" style="76" customWidth="1"/>
    <col min="14591" max="14593" width="14.28515625" style="76" customWidth="1"/>
    <col min="14594" max="14594" width="14.7109375" style="76" customWidth="1"/>
    <col min="14595" max="14595" width="14.42578125" style="76" customWidth="1"/>
    <col min="14596" max="14596" width="13.85546875" style="76" customWidth="1"/>
    <col min="14597" max="14600" width="15.28515625" style="76" customWidth="1"/>
    <col min="14601" max="14601" width="15" style="76" customWidth="1"/>
    <col min="14602" max="14602" width="18.85546875" style="76" customWidth="1"/>
    <col min="14603" max="14604" width="18.140625" style="76" customWidth="1"/>
    <col min="14605" max="14605" width="18.7109375" style="76" customWidth="1"/>
    <col min="14606" max="14606" width="17.28515625" style="76" customWidth="1"/>
    <col min="14607" max="14607" width="4.28515625" style="76" customWidth="1"/>
    <col min="14608" max="14841" width="11.5703125" style="76"/>
    <col min="14842" max="14842" width="37.5703125" style="76" customWidth="1"/>
    <col min="14843" max="14843" width="16.28515625" style="76" customWidth="1"/>
    <col min="14844" max="14844" width="16.42578125" style="76" customWidth="1"/>
    <col min="14845" max="14845" width="14.42578125" style="76" customWidth="1"/>
    <col min="14846" max="14846" width="14.7109375" style="76" customWidth="1"/>
    <col min="14847" max="14849" width="14.28515625" style="76" customWidth="1"/>
    <col min="14850" max="14850" width="14.7109375" style="76" customWidth="1"/>
    <col min="14851" max="14851" width="14.42578125" style="76" customWidth="1"/>
    <col min="14852" max="14852" width="13.85546875" style="76" customWidth="1"/>
    <col min="14853" max="14856" width="15.28515625" style="76" customWidth="1"/>
    <col min="14857" max="14857" width="15" style="76" customWidth="1"/>
    <col min="14858" max="14858" width="18.85546875" style="76" customWidth="1"/>
    <col min="14859" max="14860" width="18.140625" style="76" customWidth="1"/>
    <col min="14861" max="14861" width="18.7109375" style="76" customWidth="1"/>
    <col min="14862" max="14862" width="17.28515625" style="76" customWidth="1"/>
    <col min="14863" max="14863" width="4.28515625" style="76" customWidth="1"/>
    <col min="14864" max="15097" width="11.5703125" style="76"/>
    <col min="15098" max="15098" width="37.5703125" style="76" customWidth="1"/>
    <col min="15099" max="15099" width="16.28515625" style="76" customWidth="1"/>
    <col min="15100" max="15100" width="16.42578125" style="76" customWidth="1"/>
    <col min="15101" max="15101" width="14.42578125" style="76" customWidth="1"/>
    <col min="15102" max="15102" width="14.7109375" style="76" customWidth="1"/>
    <col min="15103" max="15105" width="14.28515625" style="76" customWidth="1"/>
    <col min="15106" max="15106" width="14.7109375" style="76" customWidth="1"/>
    <col min="15107" max="15107" width="14.42578125" style="76" customWidth="1"/>
    <col min="15108" max="15108" width="13.85546875" style="76" customWidth="1"/>
    <col min="15109" max="15112" width="15.28515625" style="76" customWidth="1"/>
    <col min="15113" max="15113" width="15" style="76" customWidth="1"/>
    <col min="15114" max="15114" width="18.85546875" style="76" customWidth="1"/>
    <col min="15115" max="15116" width="18.140625" style="76" customWidth="1"/>
    <col min="15117" max="15117" width="18.7109375" style="76" customWidth="1"/>
    <col min="15118" max="15118" width="17.28515625" style="76" customWidth="1"/>
    <col min="15119" max="15119" width="4.28515625" style="76" customWidth="1"/>
    <col min="15120" max="15353" width="11.5703125" style="76"/>
    <col min="15354" max="15354" width="37.5703125" style="76" customWidth="1"/>
    <col min="15355" max="15355" width="16.28515625" style="76" customWidth="1"/>
    <col min="15356" max="15356" width="16.42578125" style="76" customWidth="1"/>
    <col min="15357" max="15357" width="14.42578125" style="76" customWidth="1"/>
    <col min="15358" max="15358" width="14.7109375" style="76" customWidth="1"/>
    <col min="15359" max="15361" width="14.28515625" style="76" customWidth="1"/>
    <col min="15362" max="15362" width="14.7109375" style="76" customWidth="1"/>
    <col min="15363" max="15363" width="14.42578125" style="76" customWidth="1"/>
    <col min="15364" max="15364" width="13.85546875" style="76" customWidth="1"/>
    <col min="15365" max="15368" width="15.28515625" style="76" customWidth="1"/>
    <col min="15369" max="15369" width="15" style="76" customWidth="1"/>
    <col min="15370" max="15370" width="18.85546875" style="76" customWidth="1"/>
    <col min="15371" max="15372" width="18.140625" style="76" customWidth="1"/>
    <col min="15373" max="15373" width="18.7109375" style="76" customWidth="1"/>
    <col min="15374" max="15374" width="17.28515625" style="76" customWidth="1"/>
    <col min="15375" max="15375" width="4.28515625" style="76" customWidth="1"/>
    <col min="15376" max="15609" width="11.5703125" style="76"/>
    <col min="15610" max="15610" width="37.5703125" style="76" customWidth="1"/>
    <col min="15611" max="15611" width="16.28515625" style="76" customWidth="1"/>
    <col min="15612" max="15612" width="16.42578125" style="76" customWidth="1"/>
    <col min="15613" max="15613" width="14.42578125" style="76" customWidth="1"/>
    <col min="15614" max="15614" width="14.7109375" style="76" customWidth="1"/>
    <col min="15615" max="15617" width="14.28515625" style="76" customWidth="1"/>
    <col min="15618" max="15618" width="14.7109375" style="76" customWidth="1"/>
    <col min="15619" max="15619" width="14.42578125" style="76" customWidth="1"/>
    <col min="15620" max="15620" width="13.85546875" style="76" customWidth="1"/>
    <col min="15621" max="15624" width="15.28515625" style="76" customWidth="1"/>
    <col min="15625" max="15625" width="15" style="76" customWidth="1"/>
    <col min="15626" max="15626" width="18.85546875" style="76" customWidth="1"/>
    <col min="15627" max="15628" width="18.140625" style="76" customWidth="1"/>
    <col min="15629" max="15629" width="18.7109375" style="76" customWidth="1"/>
    <col min="15630" max="15630" width="17.28515625" style="76" customWidth="1"/>
    <col min="15631" max="15631" width="4.28515625" style="76" customWidth="1"/>
    <col min="15632" max="15865" width="11.5703125" style="76"/>
    <col min="15866" max="15866" width="37.5703125" style="76" customWidth="1"/>
    <col min="15867" max="15867" width="16.28515625" style="76" customWidth="1"/>
    <col min="15868" max="15868" width="16.42578125" style="76" customWidth="1"/>
    <col min="15869" max="15869" width="14.42578125" style="76" customWidth="1"/>
    <col min="15870" max="15870" width="14.7109375" style="76" customWidth="1"/>
    <col min="15871" max="15873" width="14.28515625" style="76" customWidth="1"/>
    <col min="15874" max="15874" width="14.7109375" style="76" customWidth="1"/>
    <col min="15875" max="15875" width="14.42578125" style="76" customWidth="1"/>
    <col min="15876" max="15876" width="13.85546875" style="76" customWidth="1"/>
    <col min="15877" max="15880" width="15.28515625" style="76" customWidth="1"/>
    <col min="15881" max="15881" width="15" style="76" customWidth="1"/>
    <col min="15882" max="15882" width="18.85546875" style="76" customWidth="1"/>
    <col min="15883" max="15884" width="18.140625" style="76" customWidth="1"/>
    <col min="15885" max="15885" width="18.7109375" style="76" customWidth="1"/>
    <col min="15886" max="15886" width="17.28515625" style="76" customWidth="1"/>
    <col min="15887" max="15887" width="4.28515625" style="76" customWidth="1"/>
    <col min="15888" max="16121" width="11.5703125" style="76"/>
    <col min="16122" max="16122" width="37.5703125" style="76" customWidth="1"/>
    <col min="16123" max="16123" width="16.28515625" style="76" customWidth="1"/>
    <col min="16124" max="16124" width="16.42578125" style="76" customWidth="1"/>
    <col min="16125" max="16125" width="14.42578125" style="76" customWidth="1"/>
    <col min="16126" max="16126" width="14.7109375" style="76" customWidth="1"/>
    <col min="16127" max="16129" width="14.28515625" style="76" customWidth="1"/>
    <col min="16130" max="16130" width="14.7109375" style="76" customWidth="1"/>
    <col min="16131" max="16131" width="14.42578125" style="76" customWidth="1"/>
    <col min="16132" max="16132" width="13.85546875" style="76" customWidth="1"/>
    <col min="16133" max="16136" width="15.28515625" style="76" customWidth="1"/>
    <col min="16137" max="16137" width="15" style="76" customWidth="1"/>
    <col min="16138" max="16138" width="18.85546875" style="76" customWidth="1"/>
    <col min="16139" max="16140" width="18.140625" style="76" customWidth="1"/>
    <col min="16141" max="16141" width="18.7109375" style="76" customWidth="1"/>
    <col min="16142" max="16142" width="17.28515625" style="76" customWidth="1"/>
    <col min="16143" max="16143" width="4.28515625" style="76" customWidth="1"/>
    <col min="16144" max="16376" width="11.5703125" style="76"/>
    <col min="16377" max="16384" width="11.5703125" style="76" customWidth="1"/>
  </cols>
  <sheetData>
    <row r="1" spans="1:17" x14ac:dyDescent="0.2">
      <c r="A1" s="452" t="s">
        <v>330</v>
      </c>
      <c r="B1" s="453"/>
      <c r="C1" s="453"/>
      <c r="D1" s="453"/>
      <c r="E1" s="453"/>
      <c r="F1" s="453"/>
      <c r="G1" s="453"/>
      <c r="H1" s="453"/>
      <c r="I1" s="454"/>
      <c r="O1" s="77"/>
    </row>
    <row r="2" spans="1:17" ht="13.5" thickBot="1" x14ac:dyDescent="0.25">
      <c r="A2" s="455" t="s">
        <v>299</v>
      </c>
      <c r="B2" s="456"/>
      <c r="C2" s="456"/>
      <c r="D2" s="456"/>
      <c r="E2" s="456"/>
      <c r="F2" s="456"/>
      <c r="G2" s="456"/>
      <c r="H2" s="456"/>
      <c r="I2" s="457"/>
      <c r="O2" s="77"/>
    </row>
    <row r="3" spans="1:17" ht="13.5" thickBot="1" x14ac:dyDescent="0.25">
      <c r="A3" s="78" t="s">
        <v>1</v>
      </c>
      <c r="B3" s="79" t="s">
        <v>2</v>
      </c>
      <c r="C3" s="79" t="s">
        <v>31</v>
      </c>
      <c r="D3" s="80"/>
      <c r="E3" s="80"/>
      <c r="F3" s="80"/>
      <c r="G3" s="80"/>
      <c r="H3" s="79" t="s">
        <v>49</v>
      </c>
      <c r="I3" s="79" t="s">
        <v>51</v>
      </c>
      <c r="P3" s="81"/>
      <c r="Q3" s="81"/>
    </row>
    <row r="4" spans="1:17" x14ac:dyDescent="0.2">
      <c r="A4" s="85" t="s">
        <v>300</v>
      </c>
      <c r="B4" s="86"/>
      <c r="C4" s="395"/>
      <c r="D4" s="154"/>
      <c r="E4" s="154"/>
      <c r="F4" s="197" t="s">
        <v>331</v>
      </c>
      <c r="G4" s="197" t="s">
        <v>340</v>
      </c>
      <c r="H4" s="197" t="s">
        <v>346</v>
      </c>
      <c r="I4" s="87"/>
    </row>
    <row r="5" spans="1:17" ht="12.75" customHeight="1" thickBot="1" x14ac:dyDescent="0.25">
      <c r="A5" s="88" t="s">
        <v>37</v>
      </c>
      <c r="B5" s="141" t="s">
        <v>38</v>
      </c>
      <c r="C5" s="138" t="s">
        <v>38</v>
      </c>
      <c r="D5" s="91"/>
      <c r="E5" s="91"/>
      <c r="F5" s="141" t="s">
        <v>39</v>
      </c>
      <c r="G5" s="141" t="s">
        <v>39</v>
      </c>
      <c r="H5" s="141" t="s">
        <v>39</v>
      </c>
      <c r="I5" s="215"/>
      <c r="P5" s="92"/>
    </row>
    <row r="6" spans="1:17" x14ac:dyDescent="0.2">
      <c r="A6" s="115" t="s">
        <v>84</v>
      </c>
      <c r="B6" s="125"/>
      <c r="C6" s="94"/>
      <c r="D6" s="84"/>
      <c r="E6" s="105"/>
      <c r="F6" s="216"/>
      <c r="G6" s="216"/>
      <c r="H6" s="216"/>
      <c r="I6" s="96"/>
      <c r="P6" s="97"/>
    </row>
    <row r="7" spans="1:17" x14ac:dyDescent="0.2">
      <c r="A7" s="156" t="s">
        <v>56</v>
      </c>
      <c r="B7" s="351">
        <v>3745228867</v>
      </c>
      <c r="C7" s="351">
        <f>B7</f>
        <v>3745228867</v>
      </c>
      <c r="D7" s="106"/>
      <c r="E7" s="193"/>
      <c r="F7" s="394">
        <v>199736115</v>
      </c>
      <c r="G7" s="394">
        <v>291264437</v>
      </c>
      <c r="H7" s="394">
        <v>203724794</v>
      </c>
      <c r="I7" s="334">
        <f>SUM(F7:H7)</f>
        <v>694725346</v>
      </c>
      <c r="P7" s="97"/>
    </row>
    <row r="8" spans="1:17" x14ac:dyDescent="0.2">
      <c r="A8" s="156" t="s">
        <v>321</v>
      </c>
      <c r="B8" s="351">
        <v>10000000</v>
      </c>
      <c r="C8" s="351">
        <f t="shared" ref="C8:C9" si="0">B8</f>
        <v>10000000</v>
      </c>
      <c r="D8" s="106"/>
      <c r="E8" s="193"/>
      <c r="F8" s="394">
        <v>3822652</v>
      </c>
      <c r="G8" s="394">
        <v>3514564</v>
      </c>
      <c r="H8" s="394">
        <v>1379510</v>
      </c>
      <c r="I8" s="334">
        <f>SUM(F8:H8)</f>
        <v>8716726</v>
      </c>
      <c r="P8" s="97"/>
    </row>
    <row r="9" spans="1:17" x14ac:dyDescent="0.2">
      <c r="A9" s="156" t="s">
        <v>322</v>
      </c>
      <c r="B9" s="351">
        <v>3240000000</v>
      </c>
      <c r="C9" s="351">
        <f t="shared" si="0"/>
        <v>3240000000</v>
      </c>
      <c r="D9" s="106"/>
      <c r="E9" s="193"/>
      <c r="F9" s="394">
        <v>94656774.790000007</v>
      </c>
      <c r="G9" s="394">
        <v>94343205.480000004</v>
      </c>
      <c r="H9" s="394">
        <v>70408695.280000001</v>
      </c>
      <c r="I9" s="334">
        <f>SUM(F9:H9)</f>
        <v>259408675.55000001</v>
      </c>
      <c r="P9" s="97"/>
    </row>
    <row r="10" spans="1:17" ht="13.5" thickBot="1" x14ac:dyDescent="0.25">
      <c r="A10" s="116" t="s">
        <v>83</v>
      </c>
      <c r="B10" s="355">
        <v>560000000</v>
      </c>
      <c r="C10" s="99">
        <f>B10</f>
        <v>560000000</v>
      </c>
      <c r="D10" s="152"/>
      <c r="E10" s="193"/>
      <c r="F10" s="217">
        <v>34524898.799999997</v>
      </c>
      <c r="G10" s="217">
        <v>32604570</v>
      </c>
      <c r="H10" s="217">
        <v>30729470</v>
      </c>
      <c r="I10" s="352">
        <f>SUM(F10:H10)</f>
        <v>97858938.799999997</v>
      </c>
      <c r="J10" s="100"/>
      <c r="P10" s="97"/>
    </row>
    <row r="11" spans="1:17" ht="13.5" thickBot="1" x14ac:dyDescent="0.25">
      <c r="A11" s="117" t="s">
        <v>3</v>
      </c>
      <c r="B11" s="118">
        <f>SUM(B6:B10)</f>
        <v>7555228867</v>
      </c>
      <c r="C11" s="118">
        <f>SUM(C6:C10)</f>
        <v>7555228867</v>
      </c>
      <c r="D11" s="140"/>
      <c r="E11" s="130"/>
      <c r="F11" s="333">
        <f t="shared" ref="F11:G11" si="1">SUM(F6:F10)</f>
        <v>332740440.59000003</v>
      </c>
      <c r="G11" s="333">
        <f t="shared" si="1"/>
        <v>421726776.48000002</v>
      </c>
      <c r="H11" s="333">
        <f t="shared" ref="H11:I11" si="2">SUM(H6:H10)</f>
        <v>306242469.27999997</v>
      </c>
      <c r="I11" s="102">
        <f t="shared" si="2"/>
        <v>1060709686.3499999</v>
      </c>
      <c r="J11" s="100"/>
      <c r="P11" s="103"/>
    </row>
    <row r="12" spans="1:17" ht="13.5" thickBot="1" x14ac:dyDescent="0.25">
      <c r="A12" s="107" t="s">
        <v>4</v>
      </c>
      <c r="B12" s="86"/>
      <c r="C12" s="108"/>
      <c r="D12" s="109" t="s">
        <v>53</v>
      </c>
      <c r="E12" s="109" t="s">
        <v>54</v>
      </c>
      <c r="F12" s="79" t="s">
        <v>50</v>
      </c>
      <c r="G12" s="79" t="s">
        <v>50</v>
      </c>
      <c r="H12" s="79" t="s">
        <v>50</v>
      </c>
      <c r="I12" s="109" t="s">
        <v>52</v>
      </c>
      <c r="P12" s="81"/>
    </row>
    <row r="13" spans="1:17" ht="9.75" customHeight="1" thickBot="1" x14ac:dyDescent="0.25">
      <c r="A13" s="110" t="s">
        <v>126</v>
      </c>
      <c r="B13" s="141" t="s">
        <v>41</v>
      </c>
      <c r="C13" s="106" t="s">
        <v>41</v>
      </c>
      <c r="D13" s="106"/>
      <c r="E13" s="106"/>
      <c r="F13" s="106" t="s">
        <v>42</v>
      </c>
      <c r="G13" s="106" t="s">
        <v>42</v>
      </c>
      <c r="H13" s="106" t="s">
        <v>42</v>
      </c>
      <c r="I13" s="124"/>
      <c r="P13" s="92"/>
    </row>
    <row r="14" spans="1:17" x14ac:dyDescent="0.2">
      <c r="A14" s="93" t="s">
        <v>85</v>
      </c>
      <c r="B14" s="94">
        <v>1613616502</v>
      </c>
      <c r="C14" s="94">
        <f>B14</f>
        <v>1613616502</v>
      </c>
      <c r="D14" s="96">
        <f>'marzo-2025'!E20+'marzo-2025'!F20</f>
        <v>363427140</v>
      </c>
      <c r="E14" s="187">
        <f>C14-D14</f>
        <v>1250189362</v>
      </c>
      <c r="F14" s="173">
        <v>121142380</v>
      </c>
      <c r="G14" s="173">
        <v>121142380</v>
      </c>
      <c r="H14" s="173">
        <v>121142380</v>
      </c>
      <c r="I14" s="173">
        <f>SUM(F14:H14)</f>
        <v>363427140</v>
      </c>
      <c r="P14" s="113"/>
    </row>
    <row r="15" spans="1:17" x14ac:dyDescent="0.2">
      <c r="A15" s="98" t="s">
        <v>86</v>
      </c>
      <c r="B15" s="172">
        <v>71156006</v>
      </c>
      <c r="C15" s="99">
        <f>B15</f>
        <v>71156006</v>
      </c>
      <c r="D15" s="334">
        <f>'marzo-2025'!E21+'marzo-2025'!F21</f>
        <v>28088020</v>
      </c>
      <c r="E15" s="368">
        <f t="shared" ref="E15:E29" si="3">C15-D15</f>
        <v>43067986</v>
      </c>
      <c r="F15" s="99">
        <v>0</v>
      </c>
      <c r="G15" s="99">
        <v>0</v>
      </c>
      <c r="H15" s="99">
        <v>0</v>
      </c>
      <c r="I15" s="99">
        <f>SUM(F15:H15)</f>
        <v>0</v>
      </c>
      <c r="P15" s="97"/>
    </row>
    <row r="16" spans="1:17" x14ac:dyDescent="0.2">
      <c r="A16" s="98" t="s">
        <v>87</v>
      </c>
      <c r="B16" s="172">
        <v>47063815</v>
      </c>
      <c r="C16" s="99">
        <f t="shared" ref="C16:C30" si="4">B16</f>
        <v>47063815</v>
      </c>
      <c r="D16" s="334">
        <f>'marzo-2025'!E22+'marzo-2025'!F22</f>
        <v>18553655</v>
      </c>
      <c r="E16" s="368">
        <f t="shared" si="3"/>
        <v>28510160</v>
      </c>
      <c r="F16" s="99">
        <v>3622650</v>
      </c>
      <c r="G16" s="99">
        <v>3833586</v>
      </c>
      <c r="H16" s="99">
        <v>3463966</v>
      </c>
      <c r="I16" s="99">
        <f t="shared" ref="I16:I30" si="5">SUM(F16:H16)</f>
        <v>10920202</v>
      </c>
      <c r="P16" s="97"/>
    </row>
    <row r="17" spans="1:16" x14ac:dyDescent="0.2">
      <c r="A17" s="98" t="s">
        <v>6</v>
      </c>
      <c r="B17" s="172">
        <v>152897470</v>
      </c>
      <c r="C17" s="99">
        <f t="shared" si="4"/>
        <v>152897470</v>
      </c>
      <c r="D17" s="334">
        <f>'marzo-2025'!E23+'marzo-2025'!F23</f>
        <v>37723000</v>
      </c>
      <c r="E17" s="368">
        <f t="shared" si="3"/>
        <v>115174470</v>
      </c>
      <c r="F17" s="99">
        <v>0</v>
      </c>
      <c r="G17" s="99">
        <v>0</v>
      </c>
      <c r="H17" s="99">
        <v>0</v>
      </c>
      <c r="I17" s="99">
        <f t="shared" si="5"/>
        <v>0</v>
      </c>
      <c r="P17" s="97"/>
    </row>
    <row r="18" spans="1:16" x14ac:dyDescent="0.2">
      <c r="A18" s="98" t="s">
        <v>5</v>
      </c>
      <c r="B18" s="172">
        <v>79384392</v>
      </c>
      <c r="C18" s="99">
        <f t="shared" si="4"/>
        <v>79384392</v>
      </c>
      <c r="D18" s="334">
        <f>'marzo-2025'!E24+'marzo-2025'!F24</f>
        <v>31262645</v>
      </c>
      <c r="E18" s="368">
        <f t="shared" si="3"/>
        <v>48121747</v>
      </c>
      <c r="F18" s="99">
        <v>6090300</v>
      </c>
      <c r="G18" s="99">
        <v>6781170</v>
      </c>
      <c r="H18" s="99">
        <v>5721522</v>
      </c>
      <c r="I18" s="99">
        <f t="shared" si="5"/>
        <v>18592992</v>
      </c>
      <c r="P18" s="97"/>
    </row>
    <row r="19" spans="1:16" x14ac:dyDescent="0.2">
      <c r="A19" s="98" t="s">
        <v>88</v>
      </c>
      <c r="B19" s="172">
        <v>23548917</v>
      </c>
      <c r="C19" s="99">
        <f t="shared" si="4"/>
        <v>23548917</v>
      </c>
      <c r="D19" s="334">
        <f>'marzo-2025'!E25+'marzo-2025'!F25</f>
        <v>19175858</v>
      </c>
      <c r="E19" s="368">
        <f t="shared" si="3"/>
        <v>4373059</v>
      </c>
      <c r="F19" s="99">
        <v>10350429</v>
      </c>
      <c r="G19" s="99">
        <v>6202456</v>
      </c>
      <c r="H19" s="99">
        <v>0</v>
      </c>
      <c r="I19" s="99">
        <f t="shared" si="5"/>
        <v>16552885</v>
      </c>
      <c r="P19" s="97"/>
    </row>
    <row r="20" spans="1:16" x14ac:dyDescent="0.2">
      <c r="A20" s="98" t="s">
        <v>90</v>
      </c>
      <c r="B20" s="172">
        <v>202107508</v>
      </c>
      <c r="C20" s="99">
        <f t="shared" si="4"/>
        <v>202107508</v>
      </c>
      <c r="D20" s="334">
        <f>'marzo-2025'!E26+'marzo-2025'!F26</f>
        <v>41140864</v>
      </c>
      <c r="E20" s="368">
        <f t="shared" si="3"/>
        <v>160966644</v>
      </c>
      <c r="F20" s="99">
        <v>0</v>
      </c>
      <c r="G20" s="99">
        <v>14373203</v>
      </c>
      <c r="H20" s="99">
        <v>14479876</v>
      </c>
      <c r="I20" s="99">
        <f t="shared" si="5"/>
        <v>28853079</v>
      </c>
      <c r="P20" s="97"/>
    </row>
    <row r="21" spans="1:16" x14ac:dyDescent="0.2">
      <c r="A21" s="98" t="s">
        <v>89</v>
      </c>
      <c r="B21" s="172">
        <v>143159485</v>
      </c>
      <c r="C21" s="99">
        <f t="shared" si="4"/>
        <v>143159485</v>
      </c>
      <c r="D21" s="334">
        <f>'marzo-2025'!E27+'marzo-2025'!F27</f>
        <v>34971217</v>
      </c>
      <c r="E21" s="368">
        <f t="shared" si="3"/>
        <v>108188268</v>
      </c>
      <c r="F21" s="99">
        <v>0</v>
      </c>
      <c r="G21" s="99">
        <v>11903138</v>
      </c>
      <c r="H21" s="99">
        <v>12046111</v>
      </c>
      <c r="I21" s="99">
        <f t="shared" si="5"/>
        <v>23949249</v>
      </c>
      <c r="P21" s="97"/>
    </row>
    <row r="22" spans="1:16" x14ac:dyDescent="0.2">
      <c r="A22" s="98" t="s">
        <v>46</v>
      </c>
      <c r="B22" s="172">
        <v>16996535</v>
      </c>
      <c r="C22" s="99">
        <f t="shared" si="4"/>
        <v>16996535</v>
      </c>
      <c r="D22" s="334">
        <f>'marzo-2025'!E28+'marzo-2025'!F28</f>
        <v>4193427</v>
      </c>
      <c r="E22" s="368">
        <f t="shared" si="3"/>
        <v>12803108</v>
      </c>
      <c r="F22" s="99">
        <v>0</v>
      </c>
      <c r="G22" s="99">
        <v>0</v>
      </c>
      <c r="H22" s="99">
        <v>0</v>
      </c>
      <c r="I22" s="99">
        <f t="shared" si="5"/>
        <v>0</v>
      </c>
      <c r="P22" s="97"/>
    </row>
    <row r="23" spans="1:16" x14ac:dyDescent="0.2">
      <c r="A23" s="98" t="s">
        <v>91</v>
      </c>
      <c r="B23" s="172">
        <v>74911367</v>
      </c>
      <c r="C23" s="99">
        <f t="shared" si="4"/>
        <v>74911367</v>
      </c>
      <c r="D23" s="334">
        <f>'marzo-2025'!E29+'marzo-2025'!F29</f>
        <v>18205000</v>
      </c>
      <c r="E23" s="368">
        <f t="shared" si="3"/>
        <v>56706367</v>
      </c>
      <c r="F23" s="99">
        <v>0</v>
      </c>
      <c r="G23" s="99">
        <v>6151900</v>
      </c>
      <c r="H23" s="99">
        <v>6309900</v>
      </c>
      <c r="I23" s="99">
        <f t="shared" si="5"/>
        <v>12461800</v>
      </c>
      <c r="P23" s="97"/>
    </row>
    <row r="24" spans="1:16" ht="12" customHeight="1" x14ac:dyDescent="0.2">
      <c r="A24" s="325" t="s">
        <v>92</v>
      </c>
      <c r="B24" s="172">
        <v>8791677</v>
      </c>
      <c r="C24" s="99">
        <f t="shared" si="4"/>
        <v>8791677</v>
      </c>
      <c r="D24" s="334">
        <f>'marzo-2025'!E30+'marzo-2025'!F30</f>
        <v>2285800</v>
      </c>
      <c r="E24" s="368">
        <f t="shared" si="3"/>
        <v>6505877</v>
      </c>
      <c r="F24" s="99">
        <v>0</v>
      </c>
      <c r="G24" s="99">
        <v>777200</v>
      </c>
      <c r="H24" s="99">
        <v>794900</v>
      </c>
      <c r="I24" s="99">
        <f t="shared" si="5"/>
        <v>1572100</v>
      </c>
      <c r="J24" s="100"/>
      <c r="P24" s="97"/>
    </row>
    <row r="25" spans="1:16" x14ac:dyDescent="0.2">
      <c r="A25" s="98" t="s">
        <v>93</v>
      </c>
      <c r="B25" s="172">
        <v>56183525</v>
      </c>
      <c r="C25" s="99">
        <f t="shared" si="4"/>
        <v>56183525</v>
      </c>
      <c r="D25" s="334">
        <f>'marzo-2025'!E31+'marzo-2025'!F31</f>
        <v>13654700</v>
      </c>
      <c r="E25" s="368">
        <f t="shared" si="3"/>
        <v>42528825</v>
      </c>
      <c r="F25" s="99">
        <v>0</v>
      </c>
      <c r="G25" s="99">
        <v>4614200</v>
      </c>
      <c r="H25" s="99">
        <v>4732700</v>
      </c>
      <c r="I25" s="99">
        <f t="shared" si="5"/>
        <v>9346900</v>
      </c>
      <c r="P25" s="97"/>
    </row>
    <row r="26" spans="1:16" x14ac:dyDescent="0.2">
      <c r="A26" s="98" t="s">
        <v>94</v>
      </c>
      <c r="B26" s="172">
        <v>37455684</v>
      </c>
      <c r="C26" s="99">
        <f t="shared" si="4"/>
        <v>37455684</v>
      </c>
      <c r="D26" s="334">
        <f>'marzo-2025'!E32+'marzo-2025'!F32</f>
        <v>9103800</v>
      </c>
      <c r="E26" s="368">
        <f t="shared" si="3"/>
        <v>28351884</v>
      </c>
      <c r="F26" s="99">
        <v>0</v>
      </c>
      <c r="G26" s="99">
        <v>3076400</v>
      </c>
      <c r="H26" s="99">
        <v>3155400</v>
      </c>
      <c r="I26" s="99">
        <f t="shared" si="5"/>
        <v>6231800</v>
      </c>
      <c r="P26" s="97"/>
    </row>
    <row r="27" spans="1:16" x14ac:dyDescent="0.2">
      <c r="A27" s="98" t="s">
        <v>7</v>
      </c>
      <c r="B27" s="99">
        <v>38014534</v>
      </c>
      <c r="C27" s="99">
        <f t="shared" si="4"/>
        <v>38014534</v>
      </c>
      <c r="D27" s="334">
        <f>'marzo-2025'!E33+'marzo-2025'!F33</f>
        <v>0</v>
      </c>
      <c r="E27" s="368">
        <f t="shared" si="3"/>
        <v>38014534</v>
      </c>
      <c r="F27" s="99">
        <v>0</v>
      </c>
      <c r="G27" s="99">
        <v>0</v>
      </c>
      <c r="H27" s="99">
        <v>0</v>
      </c>
      <c r="I27" s="99">
        <f t="shared" si="5"/>
        <v>0</v>
      </c>
      <c r="P27" s="97"/>
    </row>
    <row r="28" spans="1:16" x14ac:dyDescent="0.2">
      <c r="A28" s="98" t="s">
        <v>95</v>
      </c>
      <c r="B28" s="99">
        <v>8964537</v>
      </c>
      <c r="C28" s="99">
        <f t="shared" si="4"/>
        <v>8964537</v>
      </c>
      <c r="D28" s="334">
        <f>'marzo-2025'!E34+'marzo-2025'!F34</f>
        <v>3281259</v>
      </c>
      <c r="E28" s="368">
        <f t="shared" si="3"/>
        <v>5683278</v>
      </c>
      <c r="F28" s="99">
        <v>690029</v>
      </c>
      <c r="G28" s="99">
        <v>503242</v>
      </c>
      <c r="H28" s="99">
        <v>500529</v>
      </c>
      <c r="I28" s="99">
        <f t="shared" si="5"/>
        <v>1693800</v>
      </c>
      <c r="P28" s="97"/>
    </row>
    <row r="29" spans="1:16" x14ac:dyDescent="0.2">
      <c r="A29" s="98" t="s">
        <v>96</v>
      </c>
      <c r="B29" s="99">
        <v>525230000</v>
      </c>
      <c r="C29" s="99">
        <f t="shared" si="4"/>
        <v>525230000</v>
      </c>
      <c r="D29" s="334">
        <f>'marzo-2025'!E35+'marzo-2025'!F35</f>
        <v>467358000</v>
      </c>
      <c r="E29" s="368">
        <f t="shared" si="3"/>
        <v>57872000</v>
      </c>
      <c r="F29" s="99">
        <v>0</v>
      </c>
      <c r="G29" s="99">
        <v>23200000</v>
      </c>
      <c r="H29" s="99">
        <v>41500000</v>
      </c>
      <c r="I29" s="99">
        <f t="shared" si="5"/>
        <v>64700000</v>
      </c>
      <c r="P29" s="97"/>
    </row>
    <row r="30" spans="1:16" ht="13.5" thickBot="1" x14ac:dyDescent="0.25">
      <c r="A30" s="98" t="s">
        <v>97</v>
      </c>
      <c r="B30" s="155">
        <v>154700000</v>
      </c>
      <c r="C30" s="153">
        <f t="shared" si="4"/>
        <v>154700000</v>
      </c>
      <c r="D30" s="335">
        <f>'marzo-2025'!E36+'marzo-2025'!F36</f>
        <v>142733332.66</v>
      </c>
      <c r="E30" s="369">
        <f t="shared" ref="E30" si="6">C30-D30</f>
        <v>11966667.340000004</v>
      </c>
      <c r="F30" s="153">
        <f>+'Enero-2025'!E36</f>
        <v>0</v>
      </c>
      <c r="G30" s="153">
        <v>15400000</v>
      </c>
      <c r="H30" s="153">
        <f>14866666.66-133334</f>
        <v>14733332.66</v>
      </c>
      <c r="I30" s="153">
        <f t="shared" si="5"/>
        <v>30133332.66</v>
      </c>
      <c r="P30" s="97"/>
    </row>
    <row r="31" spans="1:16" ht="13.5" thickBot="1" x14ac:dyDescent="0.25">
      <c r="A31" s="159" t="s">
        <v>8</v>
      </c>
      <c r="B31" s="130">
        <f t="shared" ref="B31:I31" si="7">SUM(B14:B30)</f>
        <v>3254181954</v>
      </c>
      <c r="C31" s="130">
        <f t="shared" si="7"/>
        <v>3254181954</v>
      </c>
      <c r="D31" s="140">
        <f t="shared" si="7"/>
        <v>1235157717.6600001</v>
      </c>
      <c r="E31" s="140">
        <f t="shared" si="7"/>
        <v>2019024236.3399999</v>
      </c>
      <c r="F31" s="139">
        <f t="shared" ref="F31:H31" si="8">SUM(F14:F30)</f>
        <v>141895788</v>
      </c>
      <c r="G31" s="139">
        <f t="shared" ref="G31" si="9">SUM(G14:G30)</f>
        <v>217958875</v>
      </c>
      <c r="H31" s="139">
        <f t="shared" si="8"/>
        <v>228580616.66</v>
      </c>
      <c r="I31" s="133">
        <f t="shared" si="7"/>
        <v>588435279.65999997</v>
      </c>
      <c r="P31" s="97"/>
    </row>
    <row r="32" spans="1:16" ht="13.5" thickBot="1" x14ac:dyDescent="0.25">
      <c r="A32" s="114" t="s">
        <v>9</v>
      </c>
      <c r="B32" s="83"/>
      <c r="C32" s="106"/>
      <c r="D32" s="106"/>
      <c r="E32" s="106"/>
      <c r="F32" s="195"/>
      <c r="G32" s="195"/>
      <c r="H32" s="195"/>
      <c r="I32" s="196"/>
      <c r="P32" s="97"/>
    </row>
    <row r="33" spans="1:16" x14ac:dyDescent="0.2">
      <c r="A33" s="326" t="s">
        <v>98</v>
      </c>
      <c r="B33" s="94">
        <v>37500000</v>
      </c>
      <c r="C33" s="173">
        <f>B33</f>
        <v>37500000</v>
      </c>
      <c r="D33" s="96">
        <f>'marzo-2025'!E39+'marzo-2025'!F39</f>
        <v>9485002</v>
      </c>
      <c r="E33" s="173">
        <f t="shared" ref="E33:E60" si="10">C33-D33</f>
        <v>28014998</v>
      </c>
      <c r="F33" s="173">
        <v>293056</v>
      </c>
      <c r="G33" s="173">
        <v>2830309</v>
      </c>
      <c r="H33" s="173">
        <v>4071572</v>
      </c>
      <c r="I33" s="173">
        <f>SUM(F33:H33)</f>
        <v>7194937</v>
      </c>
      <c r="P33" s="97"/>
    </row>
    <row r="34" spans="1:16" x14ac:dyDescent="0.2">
      <c r="A34" s="156" t="s">
        <v>14</v>
      </c>
      <c r="B34" s="351">
        <v>106713180</v>
      </c>
      <c r="C34" s="99">
        <f>B34</f>
        <v>106713180</v>
      </c>
      <c r="D34" s="334">
        <f>'marzo-2025'!E40+'marzo-2025'!F40</f>
        <v>5982847</v>
      </c>
      <c r="E34" s="99">
        <f t="shared" si="10"/>
        <v>100730333</v>
      </c>
      <c r="F34" s="99">
        <v>0</v>
      </c>
      <c r="G34" s="99">
        <v>5982847</v>
      </c>
      <c r="H34" s="99">
        <v>0</v>
      </c>
      <c r="I34" s="99">
        <f>SUM(F34:H34)</f>
        <v>5982847</v>
      </c>
      <c r="P34" s="97"/>
    </row>
    <row r="35" spans="1:16" x14ac:dyDescent="0.2">
      <c r="A35" s="98" t="s">
        <v>99</v>
      </c>
      <c r="B35" s="172">
        <v>21052260</v>
      </c>
      <c r="C35" s="99">
        <f t="shared" ref="C35:C60" si="11">B35</f>
        <v>21052260</v>
      </c>
      <c r="D35" s="334">
        <f>'marzo-2025'!E41+'marzo-2025'!F41</f>
        <v>0</v>
      </c>
      <c r="E35" s="99">
        <f t="shared" si="10"/>
        <v>21052260</v>
      </c>
      <c r="F35" s="99">
        <v>0</v>
      </c>
      <c r="G35" s="99">
        <v>0</v>
      </c>
      <c r="H35" s="99">
        <v>0</v>
      </c>
      <c r="I35" s="99">
        <f t="shared" ref="I35:I60" si="12">SUM(F35:H35)</f>
        <v>0</v>
      </c>
      <c r="P35" s="97"/>
    </row>
    <row r="36" spans="1:16" x14ac:dyDescent="0.2">
      <c r="A36" s="98" t="s">
        <v>11</v>
      </c>
      <c r="B36" s="172">
        <v>64546500</v>
      </c>
      <c r="C36" s="99">
        <f t="shared" si="11"/>
        <v>64546500</v>
      </c>
      <c r="D36" s="334">
        <f>'marzo-2025'!E42+'marzo-2025'!F42</f>
        <v>0</v>
      </c>
      <c r="E36" s="99">
        <f t="shared" si="10"/>
        <v>64546500</v>
      </c>
      <c r="F36" s="99">
        <v>0</v>
      </c>
      <c r="G36" s="99">
        <v>0</v>
      </c>
      <c r="H36" s="99">
        <v>0</v>
      </c>
      <c r="I36" s="99">
        <f t="shared" si="12"/>
        <v>0</v>
      </c>
      <c r="P36" s="103"/>
    </row>
    <row r="37" spans="1:16" x14ac:dyDescent="0.2">
      <c r="A37" s="98" t="s">
        <v>100</v>
      </c>
      <c r="B37" s="172">
        <v>16650000</v>
      </c>
      <c r="C37" s="99">
        <f t="shared" si="11"/>
        <v>16650000</v>
      </c>
      <c r="D37" s="334">
        <f>'marzo-2025'!E43+'marzo-2025'!F43</f>
        <v>0</v>
      </c>
      <c r="E37" s="99">
        <f t="shared" si="10"/>
        <v>16650000</v>
      </c>
      <c r="F37" s="99">
        <v>0</v>
      </c>
      <c r="G37" s="99">
        <v>0</v>
      </c>
      <c r="H37" s="99">
        <v>0</v>
      </c>
      <c r="I37" s="99">
        <f t="shared" si="12"/>
        <v>0</v>
      </c>
      <c r="P37" s="112"/>
    </row>
    <row r="38" spans="1:16" x14ac:dyDescent="0.2">
      <c r="A38" s="325" t="s">
        <v>101</v>
      </c>
      <c r="B38" s="172">
        <v>60000000</v>
      </c>
      <c r="C38" s="99">
        <f t="shared" si="11"/>
        <v>60000000</v>
      </c>
      <c r="D38" s="334">
        <f>'marzo-2025'!E44+'marzo-2025'!F44</f>
        <v>5640000</v>
      </c>
      <c r="E38" s="99">
        <f t="shared" si="10"/>
        <v>54360000</v>
      </c>
      <c r="F38" s="99">
        <v>0</v>
      </c>
      <c r="G38" s="99">
        <v>0</v>
      </c>
      <c r="H38" s="99">
        <v>0</v>
      </c>
      <c r="I38" s="99">
        <f t="shared" si="12"/>
        <v>0</v>
      </c>
      <c r="P38" s="97"/>
    </row>
    <row r="39" spans="1:16" x14ac:dyDescent="0.2">
      <c r="A39" s="98" t="s">
        <v>10</v>
      </c>
      <c r="B39" s="172">
        <v>25000000</v>
      </c>
      <c r="C39" s="99">
        <f t="shared" si="11"/>
        <v>25000000</v>
      </c>
      <c r="D39" s="334">
        <f>'marzo-2025'!E45+'marzo-2025'!F45</f>
        <v>9120000</v>
      </c>
      <c r="E39" s="99">
        <f t="shared" si="10"/>
        <v>15880000</v>
      </c>
      <c r="F39" s="99">
        <v>0</v>
      </c>
      <c r="G39" s="99">
        <v>163500</v>
      </c>
      <c r="H39" s="99">
        <v>443400</v>
      </c>
      <c r="I39" s="99">
        <f t="shared" si="12"/>
        <v>606900</v>
      </c>
      <c r="J39" s="100"/>
      <c r="P39" s="97"/>
    </row>
    <row r="40" spans="1:16" x14ac:dyDescent="0.2">
      <c r="A40" s="98" t="s">
        <v>102</v>
      </c>
      <c r="B40" s="172">
        <v>21200000</v>
      </c>
      <c r="C40" s="99">
        <f t="shared" si="11"/>
        <v>21200000</v>
      </c>
      <c r="D40" s="334">
        <f>'marzo-2025'!E46+'marzo-2025'!F46</f>
        <v>4680000</v>
      </c>
      <c r="E40" s="99">
        <f t="shared" si="10"/>
        <v>16520000</v>
      </c>
      <c r="F40" s="99">
        <v>0</v>
      </c>
      <c r="G40" s="99">
        <v>49000</v>
      </c>
      <c r="H40" s="99">
        <v>100000</v>
      </c>
      <c r="I40" s="99">
        <f t="shared" si="12"/>
        <v>149000</v>
      </c>
      <c r="J40" s="100"/>
      <c r="P40" s="97"/>
    </row>
    <row r="41" spans="1:16" x14ac:dyDescent="0.2">
      <c r="A41" s="98" t="s">
        <v>103</v>
      </c>
      <c r="B41" s="172">
        <v>15900000</v>
      </c>
      <c r="C41" s="99">
        <f t="shared" si="11"/>
        <v>15900000</v>
      </c>
      <c r="D41" s="334">
        <f>'marzo-2025'!E47+'marzo-2025'!F47</f>
        <v>4920000</v>
      </c>
      <c r="E41" s="99">
        <f t="shared" si="10"/>
        <v>10980000</v>
      </c>
      <c r="F41" s="99">
        <v>0</v>
      </c>
      <c r="G41" s="99">
        <v>0</v>
      </c>
      <c r="H41" s="99">
        <v>591544</v>
      </c>
      <c r="I41" s="99">
        <f t="shared" si="12"/>
        <v>591544</v>
      </c>
      <c r="P41" s="97"/>
    </row>
    <row r="42" spans="1:16" x14ac:dyDescent="0.2">
      <c r="A42" s="98" t="s">
        <v>104</v>
      </c>
      <c r="B42" s="172">
        <v>71020000</v>
      </c>
      <c r="C42" s="99">
        <f t="shared" si="11"/>
        <v>71020000</v>
      </c>
      <c r="D42" s="334">
        <f>'marzo-2025'!E48+'marzo-2025'!F48</f>
        <v>0</v>
      </c>
      <c r="E42" s="99">
        <f t="shared" si="10"/>
        <v>71020000</v>
      </c>
      <c r="F42" s="99">
        <v>0</v>
      </c>
      <c r="G42" s="99">
        <v>0</v>
      </c>
      <c r="H42" s="99">
        <v>0</v>
      </c>
      <c r="I42" s="99">
        <f t="shared" si="12"/>
        <v>0</v>
      </c>
      <c r="P42" s="97"/>
    </row>
    <row r="43" spans="1:16" x14ac:dyDescent="0.2">
      <c r="A43" s="98" t="s">
        <v>105</v>
      </c>
      <c r="B43" s="172">
        <v>34662000</v>
      </c>
      <c r="C43" s="99">
        <f t="shared" si="11"/>
        <v>34662000</v>
      </c>
      <c r="D43" s="334">
        <f>'marzo-2025'!E49+'marzo-2025'!F49</f>
        <v>30000000</v>
      </c>
      <c r="E43" s="99">
        <f t="shared" si="10"/>
        <v>4662000</v>
      </c>
      <c r="F43" s="99">
        <v>0</v>
      </c>
      <c r="G43" s="99">
        <v>0</v>
      </c>
      <c r="H43" s="99">
        <v>0</v>
      </c>
      <c r="I43" s="99">
        <f t="shared" si="12"/>
        <v>0</v>
      </c>
      <c r="P43" s="97"/>
    </row>
    <row r="44" spans="1:16" x14ac:dyDescent="0.2">
      <c r="A44" s="98" t="s">
        <v>106</v>
      </c>
      <c r="B44" s="172">
        <v>32000000</v>
      </c>
      <c r="C44" s="99">
        <f t="shared" si="11"/>
        <v>32000000</v>
      </c>
      <c r="D44" s="334">
        <f>'marzo-2025'!E50+'marzo-2025'!F50</f>
        <v>1968000</v>
      </c>
      <c r="E44" s="99">
        <f t="shared" si="10"/>
        <v>30032000</v>
      </c>
      <c r="F44" s="99">
        <v>0</v>
      </c>
      <c r="G44" s="99">
        <v>0</v>
      </c>
      <c r="H44" s="99">
        <v>0</v>
      </c>
      <c r="I44" s="99">
        <f t="shared" si="12"/>
        <v>0</v>
      </c>
      <c r="P44" s="97"/>
    </row>
    <row r="45" spans="1:16" x14ac:dyDescent="0.2">
      <c r="A45" s="98" t="s">
        <v>298</v>
      </c>
      <c r="B45" s="172">
        <v>42400000</v>
      </c>
      <c r="C45" s="99">
        <f t="shared" si="11"/>
        <v>42400000</v>
      </c>
      <c r="D45" s="334">
        <f>'marzo-2025'!E51+'marzo-2025'!F51</f>
        <v>0</v>
      </c>
      <c r="E45" s="99">
        <f t="shared" si="10"/>
        <v>42400000</v>
      </c>
      <c r="F45" s="99">
        <v>0</v>
      </c>
      <c r="G45" s="99">
        <v>0</v>
      </c>
      <c r="H45" s="99">
        <v>0</v>
      </c>
      <c r="I45" s="99">
        <f t="shared" si="12"/>
        <v>0</v>
      </c>
      <c r="P45" s="97"/>
    </row>
    <row r="46" spans="1:16" x14ac:dyDescent="0.2">
      <c r="A46" s="101" t="s">
        <v>107</v>
      </c>
      <c r="B46" s="352">
        <v>3180000</v>
      </c>
      <c r="C46" s="99">
        <f t="shared" si="11"/>
        <v>3180000</v>
      </c>
      <c r="D46" s="334">
        <f>'marzo-2025'!E52+'marzo-2025'!F52</f>
        <v>2400000</v>
      </c>
      <c r="E46" s="99">
        <f t="shared" ref="E46" si="13">C46-D46</f>
        <v>780000</v>
      </c>
      <c r="F46" s="99">
        <v>0</v>
      </c>
      <c r="G46" s="99">
        <v>0</v>
      </c>
      <c r="H46" s="99">
        <v>0</v>
      </c>
      <c r="I46" s="99">
        <f t="shared" si="12"/>
        <v>0</v>
      </c>
      <c r="P46" s="97"/>
    </row>
    <row r="47" spans="1:16" x14ac:dyDescent="0.2">
      <c r="A47" s="101" t="s">
        <v>13</v>
      </c>
      <c r="B47" s="353">
        <v>134547252</v>
      </c>
      <c r="C47" s="99">
        <f t="shared" si="11"/>
        <v>134547252</v>
      </c>
      <c r="D47" s="334">
        <f>'marzo-2025'!E53+'marzo-2025'!F53</f>
        <v>30387668.120000001</v>
      </c>
      <c r="E47" s="99">
        <f t="shared" si="10"/>
        <v>104159583.88</v>
      </c>
      <c r="F47" s="99">
        <v>6143796.6600000001</v>
      </c>
      <c r="G47" s="99">
        <v>9921067.4600000009</v>
      </c>
      <c r="H47" s="99">
        <v>10501040</v>
      </c>
      <c r="I47" s="99">
        <f t="shared" si="12"/>
        <v>26565904.120000001</v>
      </c>
      <c r="J47" s="344"/>
      <c r="P47" s="97"/>
    </row>
    <row r="48" spans="1:16" x14ac:dyDescent="0.2">
      <c r="A48" s="101" t="s">
        <v>12</v>
      </c>
      <c r="B48" s="353">
        <v>4770000</v>
      </c>
      <c r="C48" s="99">
        <f t="shared" si="11"/>
        <v>4770000</v>
      </c>
      <c r="D48" s="334">
        <f>'marzo-2025'!E54+'marzo-2025'!F54</f>
        <v>4560000</v>
      </c>
      <c r="E48" s="99">
        <f t="shared" si="10"/>
        <v>210000</v>
      </c>
      <c r="F48" s="99">
        <v>0</v>
      </c>
      <c r="G48" s="99">
        <v>0</v>
      </c>
      <c r="H48" s="99">
        <v>400800</v>
      </c>
      <c r="I48" s="99">
        <f t="shared" si="12"/>
        <v>400800</v>
      </c>
      <c r="P48" s="97"/>
    </row>
    <row r="49" spans="1:16" x14ac:dyDescent="0.2">
      <c r="A49" s="101" t="s">
        <v>108</v>
      </c>
      <c r="B49" s="353">
        <v>426756000</v>
      </c>
      <c r="C49" s="99">
        <f t="shared" si="11"/>
        <v>426756000</v>
      </c>
      <c r="D49" s="334">
        <f>'marzo-2025'!E55+'marzo-2025'!F55</f>
        <v>174589044</v>
      </c>
      <c r="E49" s="99">
        <f t="shared" si="10"/>
        <v>252166956</v>
      </c>
      <c r="F49" s="99">
        <v>0</v>
      </c>
      <c r="G49" s="99">
        <v>0</v>
      </c>
      <c r="H49" s="99">
        <v>13994539</v>
      </c>
      <c r="I49" s="99">
        <f t="shared" si="12"/>
        <v>13994539</v>
      </c>
      <c r="P49" s="97"/>
    </row>
    <row r="50" spans="1:16" x14ac:dyDescent="0.2">
      <c r="A50" s="101" t="s">
        <v>109</v>
      </c>
      <c r="B50" s="353">
        <v>25250790</v>
      </c>
      <c r="C50" s="99">
        <f t="shared" si="11"/>
        <v>25250790</v>
      </c>
      <c r="D50" s="334">
        <f>'marzo-2025'!E56+'marzo-2025'!F56</f>
        <v>0</v>
      </c>
      <c r="E50" s="99">
        <f t="shared" si="10"/>
        <v>25250790</v>
      </c>
      <c r="F50" s="99">
        <v>0</v>
      </c>
      <c r="G50" s="99">
        <v>0</v>
      </c>
      <c r="H50" s="99">
        <v>0</v>
      </c>
      <c r="I50" s="99">
        <f t="shared" si="12"/>
        <v>0</v>
      </c>
      <c r="P50" s="97"/>
    </row>
    <row r="51" spans="1:16" x14ac:dyDescent="0.2">
      <c r="A51" s="101" t="s">
        <v>110</v>
      </c>
      <c r="B51" s="352">
        <v>79500000</v>
      </c>
      <c r="C51" s="99">
        <f t="shared" si="11"/>
        <v>79500000</v>
      </c>
      <c r="D51" s="334">
        <f>'marzo-2025'!E57+'marzo-2025'!F57</f>
        <v>0</v>
      </c>
      <c r="E51" s="99">
        <f t="shared" ref="E51" si="14">C51-D51</f>
        <v>79500000</v>
      </c>
      <c r="F51" s="99">
        <v>0</v>
      </c>
      <c r="G51" s="99">
        <v>0</v>
      </c>
      <c r="H51" s="99">
        <v>0</v>
      </c>
      <c r="I51" s="99">
        <f t="shared" si="12"/>
        <v>0</v>
      </c>
      <c r="P51" s="97"/>
    </row>
    <row r="52" spans="1:16" x14ac:dyDescent="0.2">
      <c r="A52" s="101" t="s">
        <v>111</v>
      </c>
      <c r="B52" s="353">
        <v>3180000</v>
      </c>
      <c r="C52" s="99">
        <f t="shared" si="11"/>
        <v>3180000</v>
      </c>
      <c r="D52" s="334">
        <f>'marzo-2025'!E58+'marzo-2025'!F58</f>
        <v>0</v>
      </c>
      <c r="E52" s="99">
        <f t="shared" si="10"/>
        <v>3180000</v>
      </c>
      <c r="F52" s="99">
        <v>0</v>
      </c>
      <c r="G52" s="99">
        <v>0</v>
      </c>
      <c r="H52" s="99">
        <v>0</v>
      </c>
      <c r="I52" s="99">
        <f t="shared" si="12"/>
        <v>0</v>
      </c>
      <c r="P52" s="97"/>
    </row>
    <row r="53" spans="1:16" x14ac:dyDescent="0.2">
      <c r="A53" s="101" t="s">
        <v>112</v>
      </c>
      <c r="B53" s="353">
        <v>120000000</v>
      </c>
      <c r="C53" s="99">
        <f t="shared" si="11"/>
        <v>120000000</v>
      </c>
      <c r="D53" s="334">
        <f>'marzo-2025'!E59+'marzo-2025'!F59</f>
        <v>100000000</v>
      </c>
      <c r="E53" s="99">
        <f t="shared" si="10"/>
        <v>20000000</v>
      </c>
      <c r="F53" s="99">
        <v>0</v>
      </c>
      <c r="G53" s="99">
        <v>0</v>
      </c>
      <c r="H53" s="99">
        <v>0</v>
      </c>
      <c r="I53" s="99">
        <f t="shared" si="12"/>
        <v>0</v>
      </c>
      <c r="P53" s="97"/>
    </row>
    <row r="54" spans="1:16" ht="18.75" x14ac:dyDescent="0.2">
      <c r="A54" s="325" t="s">
        <v>113</v>
      </c>
      <c r="B54" s="353">
        <v>42400000</v>
      </c>
      <c r="C54" s="99">
        <f t="shared" si="11"/>
        <v>42400000</v>
      </c>
      <c r="D54" s="334">
        <f>'marzo-2025'!E60+'marzo-2025'!F60</f>
        <v>21480000</v>
      </c>
      <c r="E54" s="99">
        <f t="shared" si="10"/>
        <v>20920000</v>
      </c>
      <c r="F54" s="99">
        <v>0</v>
      </c>
      <c r="G54" s="99">
        <v>501000</v>
      </c>
      <c r="H54" s="99">
        <v>150000</v>
      </c>
      <c r="I54" s="99">
        <f t="shared" si="12"/>
        <v>651000</v>
      </c>
      <c r="P54" s="97"/>
    </row>
    <row r="55" spans="1:16" ht="18.75" x14ac:dyDescent="0.2">
      <c r="A55" s="325" t="s">
        <v>114</v>
      </c>
      <c r="B55" s="353">
        <v>139641800</v>
      </c>
      <c r="C55" s="99">
        <f t="shared" si="11"/>
        <v>139641800</v>
      </c>
      <c r="D55" s="334">
        <f>'marzo-2025'!E61+'marzo-2025'!F61</f>
        <v>0</v>
      </c>
      <c r="E55" s="99">
        <f t="shared" si="10"/>
        <v>139641800</v>
      </c>
      <c r="F55" s="99">
        <v>0</v>
      </c>
      <c r="G55" s="99">
        <v>0</v>
      </c>
      <c r="H55" s="99">
        <v>0</v>
      </c>
      <c r="I55" s="99">
        <f t="shared" si="12"/>
        <v>0</v>
      </c>
      <c r="P55" s="97"/>
    </row>
    <row r="56" spans="1:16" x14ac:dyDescent="0.2">
      <c r="A56" s="101" t="s">
        <v>115</v>
      </c>
      <c r="B56" s="353">
        <v>37100000</v>
      </c>
      <c r="C56" s="99">
        <f t="shared" si="11"/>
        <v>37100000</v>
      </c>
      <c r="D56" s="334">
        <f>'marzo-2025'!E62+'marzo-2025'!F62</f>
        <v>36640000</v>
      </c>
      <c r="E56" s="99">
        <f t="shared" si="10"/>
        <v>460000</v>
      </c>
      <c r="F56" s="99">
        <v>0</v>
      </c>
      <c r="G56" s="99">
        <v>99000</v>
      </c>
      <c r="H56" s="99">
        <v>45000</v>
      </c>
      <c r="I56" s="99">
        <f t="shared" si="12"/>
        <v>144000</v>
      </c>
      <c r="P56" s="97"/>
    </row>
    <row r="57" spans="1:16" x14ac:dyDescent="0.2">
      <c r="A57" s="325" t="s">
        <v>116</v>
      </c>
      <c r="B57" s="353">
        <v>60000000</v>
      </c>
      <c r="C57" s="99">
        <f t="shared" si="11"/>
        <v>60000000</v>
      </c>
      <c r="D57" s="334">
        <f>'marzo-2025'!E63+'marzo-2025'!F63</f>
        <v>20440000</v>
      </c>
      <c r="E57" s="99">
        <f t="shared" si="10"/>
        <v>39560000</v>
      </c>
      <c r="F57" s="99">
        <v>0</v>
      </c>
      <c r="G57" s="99">
        <v>0</v>
      </c>
      <c r="H57" s="99">
        <v>916400</v>
      </c>
      <c r="I57" s="99">
        <f t="shared" si="12"/>
        <v>916400</v>
      </c>
      <c r="P57" s="97"/>
    </row>
    <row r="58" spans="1:16" ht="18.75" x14ac:dyDescent="0.2">
      <c r="A58" s="325" t="s">
        <v>117</v>
      </c>
      <c r="B58" s="353">
        <v>9010000</v>
      </c>
      <c r="C58" s="99">
        <f t="shared" si="11"/>
        <v>9010000</v>
      </c>
      <c r="D58" s="334">
        <f>'marzo-2025'!E64+'marzo-2025'!F64</f>
        <v>6480000</v>
      </c>
      <c r="E58" s="99">
        <f t="shared" si="10"/>
        <v>2530000</v>
      </c>
      <c r="F58" s="99">
        <v>0</v>
      </c>
      <c r="G58" s="99">
        <v>0</v>
      </c>
      <c r="H58" s="99">
        <v>0</v>
      </c>
      <c r="I58" s="99">
        <f t="shared" si="12"/>
        <v>0</v>
      </c>
      <c r="P58" s="97"/>
    </row>
    <row r="59" spans="1:16" x14ac:dyDescent="0.2">
      <c r="A59" s="101" t="s">
        <v>118</v>
      </c>
      <c r="B59" s="353">
        <v>168431350</v>
      </c>
      <c r="C59" s="99">
        <f t="shared" si="11"/>
        <v>168431350</v>
      </c>
      <c r="D59" s="334">
        <f>'marzo-2025'!E65+'marzo-2025'!F65</f>
        <v>133613578</v>
      </c>
      <c r="E59" s="99">
        <f t="shared" si="10"/>
        <v>34817772</v>
      </c>
      <c r="F59" s="99">
        <v>0</v>
      </c>
      <c r="G59" s="99">
        <v>29070978</v>
      </c>
      <c r="H59" s="99">
        <v>104542600</v>
      </c>
      <c r="I59" s="99">
        <f t="shared" si="12"/>
        <v>133613578</v>
      </c>
      <c r="P59" s="97"/>
    </row>
    <row r="60" spans="1:16" ht="13.5" thickBot="1" x14ac:dyDescent="0.25">
      <c r="A60" s="122" t="s">
        <v>119</v>
      </c>
      <c r="B60" s="155">
        <v>14840000</v>
      </c>
      <c r="C60" s="153">
        <f t="shared" si="11"/>
        <v>14840000</v>
      </c>
      <c r="D60" s="335">
        <f>'marzo-2025'!E66+'marzo-2025'!F66</f>
        <v>10201476</v>
      </c>
      <c r="E60" s="153">
        <f t="shared" si="10"/>
        <v>4638524</v>
      </c>
      <c r="F60" s="153">
        <v>0</v>
      </c>
      <c r="G60" s="153">
        <v>0</v>
      </c>
      <c r="H60" s="153">
        <v>0</v>
      </c>
      <c r="I60" s="153">
        <f t="shared" si="12"/>
        <v>0</v>
      </c>
      <c r="P60" s="97"/>
    </row>
    <row r="61" spans="1:16" ht="13.5" thickBot="1" x14ac:dyDescent="0.25">
      <c r="A61" s="117" t="s">
        <v>15</v>
      </c>
      <c r="B61" s="130">
        <f t="shared" ref="B61:I61" si="15">SUM(B33:B60)</f>
        <v>1817251132</v>
      </c>
      <c r="C61" s="119">
        <f t="shared" si="15"/>
        <v>1817251132</v>
      </c>
      <c r="D61" s="119">
        <f t="shared" si="15"/>
        <v>612587615.12</v>
      </c>
      <c r="E61" s="119">
        <f t="shared" si="15"/>
        <v>1204663516.8800001</v>
      </c>
      <c r="F61" s="119">
        <f t="shared" ref="F61" si="16">SUM(F33:F60)</f>
        <v>6436852.6600000001</v>
      </c>
      <c r="G61" s="119">
        <f t="shared" ref="G61" si="17">SUM(G33:G60)</f>
        <v>48617701.460000001</v>
      </c>
      <c r="H61" s="119">
        <f t="shared" si="15"/>
        <v>135756895</v>
      </c>
      <c r="I61" s="336">
        <f t="shared" si="15"/>
        <v>190811449.12</v>
      </c>
      <c r="P61" s="97"/>
    </row>
    <row r="62" spans="1:16" ht="13.5" thickBot="1" x14ac:dyDescent="0.25">
      <c r="A62" s="114" t="s">
        <v>121</v>
      </c>
      <c r="B62" s="124"/>
      <c r="C62" s="106"/>
      <c r="D62" s="106"/>
      <c r="E62" s="106"/>
      <c r="I62" s="332"/>
      <c r="P62" s="123"/>
    </row>
    <row r="63" spans="1:16" x14ac:dyDescent="0.2">
      <c r="A63" s="93" t="s">
        <v>16</v>
      </c>
      <c r="B63" s="94">
        <v>191637788</v>
      </c>
      <c r="C63" s="125">
        <f>B63</f>
        <v>191637788</v>
      </c>
      <c r="D63" s="96">
        <f>'marzo-2025'!E69+'marzo-2025'!F69</f>
        <v>55945236</v>
      </c>
      <c r="E63" s="125">
        <f t="shared" ref="E63:E64" si="18">C63-D63</f>
        <v>135692552</v>
      </c>
      <c r="F63" s="173">
        <v>0</v>
      </c>
      <c r="G63" s="173">
        <v>2000000</v>
      </c>
      <c r="H63" s="173">
        <v>0</v>
      </c>
      <c r="I63" s="338">
        <f>SUM(F63:H63)</f>
        <v>2000000</v>
      </c>
      <c r="J63" s="100"/>
      <c r="P63" s="123"/>
    </row>
    <row r="64" spans="1:16" ht="13.5" thickBot="1" x14ac:dyDescent="0.25">
      <c r="A64" s="126" t="s">
        <v>120</v>
      </c>
      <c r="B64" s="138">
        <v>2523330</v>
      </c>
      <c r="C64" s="127">
        <f>B64</f>
        <v>2523330</v>
      </c>
      <c r="D64" s="335">
        <f>'marzo-2025'!E70+'marzo-2025'!F70</f>
        <v>0</v>
      </c>
      <c r="E64" s="346">
        <f t="shared" si="18"/>
        <v>2523330</v>
      </c>
      <c r="F64" s="153">
        <v>0</v>
      </c>
      <c r="G64" s="153">
        <v>0</v>
      </c>
      <c r="H64" s="153">
        <v>0</v>
      </c>
      <c r="I64" s="339">
        <f>SUM(F64:H64)</f>
        <v>0</v>
      </c>
      <c r="J64" s="100"/>
      <c r="P64" s="123"/>
    </row>
    <row r="65" spans="1:16" ht="13.5" thickBot="1" x14ac:dyDescent="0.25">
      <c r="A65" s="128" t="s">
        <v>8</v>
      </c>
      <c r="B65" s="118">
        <f t="shared" ref="B65:I65" si="19">SUM(B63:B64)</f>
        <v>194161118</v>
      </c>
      <c r="C65" s="165">
        <f t="shared" si="19"/>
        <v>194161118</v>
      </c>
      <c r="D65" s="140">
        <f t="shared" si="19"/>
        <v>55945236</v>
      </c>
      <c r="E65" s="165">
        <f t="shared" si="19"/>
        <v>138215882</v>
      </c>
      <c r="F65" s="102">
        <f t="shared" ref="F65:H65" si="20">SUM(F63:F64)</f>
        <v>0</v>
      </c>
      <c r="G65" s="102">
        <f t="shared" ref="G65" si="21">SUM(G63:G64)</f>
        <v>2000000</v>
      </c>
      <c r="H65" s="102">
        <f t="shared" si="20"/>
        <v>0</v>
      </c>
      <c r="I65" s="102">
        <f t="shared" si="19"/>
        <v>2000000</v>
      </c>
      <c r="P65" s="112"/>
    </row>
    <row r="66" spans="1:16" ht="13.5" thickBot="1" x14ac:dyDescent="0.25">
      <c r="A66" s="114" t="s">
        <v>122</v>
      </c>
      <c r="B66" s="120"/>
      <c r="C66" s="154"/>
      <c r="D66" s="106"/>
      <c r="E66" s="106"/>
      <c r="F66" s="157"/>
      <c r="G66" s="157"/>
      <c r="H66" s="157"/>
      <c r="I66" s="332"/>
      <c r="P66" s="112"/>
    </row>
    <row r="67" spans="1:16" x14ac:dyDescent="0.2">
      <c r="A67" s="93" t="s">
        <v>17</v>
      </c>
      <c r="B67" s="94">
        <v>1968734663</v>
      </c>
      <c r="C67" s="125">
        <f>B67</f>
        <v>1968734663</v>
      </c>
      <c r="D67" s="96">
        <f>'marzo-2025'!E73+'marzo-2025'!F73</f>
        <v>200000000</v>
      </c>
      <c r="E67" s="187">
        <f t="shared" ref="E67:E68" si="22">C67-D67</f>
        <v>1768734663</v>
      </c>
      <c r="F67" s="173">
        <v>49617640</v>
      </c>
      <c r="G67" s="173">
        <v>43004242.259999998</v>
      </c>
      <c r="H67" s="422">
        <v>28173546</v>
      </c>
      <c r="I67" s="338">
        <f>SUM(F67:H67)</f>
        <v>120795428.25999999</v>
      </c>
      <c r="P67" s="112"/>
    </row>
    <row r="68" spans="1:16" ht="13.5" thickBot="1" x14ac:dyDescent="0.25">
      <c r="A68" s="122" t="s">
        <v>48</v>
      </c>
      <c r="B68" s="155">
        <v>40000000</v>
      </c>
      <c r="C68" s="127">
        <f>B68</f>
        <v>40000000</v>
      </c>
      <c r="D68" s="335">
        <f>'marzo-2025'!E74+'marzo-2025'!F74</f>
        <v>4274000</v>
      </c>
      <c r="E68" s="194">
        <f t="shared" si="22"/>
        <v>35726000</v>
      </c>
      <c r="F68" s="153">
        <v>0</v>
      </c>
      <c r="G68" s="153">
        <v>2000000</v>
      </c>
      <c r="H68" s="423">
        <v>1137000</v>
      </c>
      <c r="I68" s="339">
        <f>SUM(F68:H68)</f>
        <v>3137000</v>
      </c>
      <c r="P68" s="103"/>
    </row>
    <row r="69" spans="1:16" ht="13.5" thickBot="1" x14ac:dyDescent="0.25">
      <c r="A69" s="114" t="s">
        <v>15</v>
      </c>
      <c r="B69" s="86">
        <f>SUM(B67:B68)</f>
        <v>2008734663</v>
      </c>
      <c r="C69" s="129">
        <f>SUM(C67:C68)</f>
        <v>2008734663</v>
      </c>
      <c r="D69" s="118">
        <f>SUM(D67:D68)</f>
        <v>204274000</v>
      </c>
      <c r="E69" s="181">
        <f>SUM(E67:E68)</f>
        <v>1804460663</v>
      </c>
      <c r="F69" s="356">
        <f t="shared" ref="F69:H69" si="23">SUM(F67:F68)</f>
        <v>49617640</v>
      </c>
      <c r="G69" s="356">
        <f t="shared" ref="G69" si="24">SUM(G67:G68)</f>
        <v>45004242.259999998</v>
      </c>
      <c r="H69" s="356">
        <f t="shared" si="23"/>
        <v>29310546</v>
      </c>
      <c r="I69" s="133">
        <f>SUM(I67:I68)</f>
        <v>123932428.25999999</v>
      </c>
      <c r="P69" s="112"/>
    </row>
    <row r="70" spans="1:16" ht="13.5" thickBot="1" x14ac:dyDescent="0.25">
      <c r="A70" s="128" t="s">
        <v>123</v>
      </c>
      <c r="B70" s="131"/>
      <c r="C70" s="131"/>
      <c r="D70" s="84"/>
      <c r="E70" s="84"/>
      <c r="F70" s="158"/>
      <c r="G70" s="158"/>
      <c r="H70" s="158"/>
      <c r="I70" s="337"/>
      <c r="P70" s="97"/>
    </row>
    <row r="71" spans="1:16" x14ac:dyDescent="0.2">
      <c r="A71" s="115" t="s">
        <v>124</v>
      </c>
      <c r="B71" s="95">
        <v>265000000</v>
      </c>
      <c r="C71" s="125">
        <f>B71</f>
        <v>265000000</v>
      </c>
      <c r="D71" s="96">
        <f>'marzo-2025'!E77+'marzo-2025'!F77</f>
        <v>0</v>
      </c>
      <c r="E71" s="96">
        <f t="shared" ref="E71" si="25">C71-D71</f>
        <v>265000000</v>
      </c>
      <c r="F71" s="173">
        <v>0</v>
      </c>
      <c r="G71" s="173">
        <v>0</v>
      </c>
      <c r="H71" s="173">
        <v>0</v>
      </c>
      <c r="I71" s="338">
        <f>SUM(F71:H71)</f>
        <v>0</v>
      </c>
      <c r="P71" s="97"/>
    </row>
    <row r="72" spans="1:16" ht="13.5" thickBot="1" x14ac:dyDescent="0.25">
      <c r="A72" s="116" t="s">
        <v>125</v>
      </c>
      <c r="B72" s="171">
        <v>15900000</v>
      </c>
      <c r="C72" s="127">
        <f>B72</f>
        <v>15900000</v>
      </c>
      <c r="D72" s="335">
        <f>'marzo-2025'!E78+'marzo-2025'!F78</f>
        <v>0</v>
      </c>
      <c r="E72" s="335">
        <f t="shared" ref="E72" si="26">C72-D72</f>
        <v>15900000</v>
      </c>
      <c r="F72" s="153">
        <v>0</v>
      </c>
      <c r="G72" s="153">
        <v>0</v>
      </c>
      <c r="H72" s="153">
        <v>0</v>
      </c>
      <c r="I72" s="339">
        <f>SUM(F72:H72)</f>
        <v>0</v>
      </c>
      <c r="P72" s="97"/>
    </row>
    <row r="73" spans="1:16" ht="13.5" thickBot="1" x14ac:dyDescent="0.25">
      <c r="A73" s="128" t="s">
        <v>8</v>
      </c>
      <c r="B73" s="130">
        <f t="shared" ref="B73:I73" si="27">SUM(B71:B72)</f>
        <v>280900000</v>
      </c>
      <c r="C73" s="348">
        <f t="shared" si="27"/>
        <v>280900000</v>
      </c>
      <c r="D73" s="175">
        <f t="shared" si="27"/>
        <v>0</v>
      </c>
      <c r="E73" s="219">
        <f t="shared" si="27"/>
        <v>280900000</v>
      </c>
      <c r="F73" s="133">
        <f t="shared" ref="F73:H73" si="28">SUM(F71:F72)</f>
        <v>0</v>
      </c>
      <c r="G73" s="133">
        <f t="shared" ref="G73" si="29">SUM(G71:G72)</f>
        <v>0</v>
      </c>
      <c r="H73" s="133">
        <f t="shared" si="28"/>
        <v>0</v>
      </c>
      <c r="I73" s="133">
        <f t="shared" si="27"/>
        <v>0</v>
      </c>
      <c r="P73" s="97"/>
    </row>
    <row r="74" spans="1:16" ht="13.5" thickBot="1" x14ac:dyDescent="0.25">
      <c r="A74" s="340" t="s">
        <v>18</v>
      </c>
      <c r="B74" s="86">
        <f t="shared" ref="B74:H74" si="30">B31+B61+B65+B69+B73</f>
        <v>7555228867</v>
      </c>
      <c r="C74" s="86">
        <f t="shared" si="30"/>
        <v>7555228867</v>
      </c>
      <c r="D74" s="86">
        <f t="shared" si="30"/>
        <v>2107964568.7800002</v>
      </c>
      <c r="E74" s="86">
        <f t="shared" si="30"/>
        <v>5447264298.2200003</v>
      </c>
      <c r="F74" s="86">
        <f t="shared" ref="F74:G74" si="31">F31+F61+F65+F69+F73</f>
        <v>197950280.66</v>
      </c>
      <c r="G74" s="86">
        <f t="shared" si="31"/>
        <v>313580818.72000003</v>
      </c>
      <c r="H74" s="86">
        <f t="shared" si="30"/>
        <v>393648057.65999997</v>
      </c>
      <c r="I74" s="86">
        <f>I31+I61+I65+I69</f>
        <v>905179157.03999996</v>
      </c>
      <c r="J74" s="100"/>
      <c r="P74" s="121"/>
    </row>
    <row r="75" spans="1:16" x14ac:dyDescent="0.2">
      <c r="A75" s="328"/>
      <c r="B75" s="329">
        <f>+B74-B11</f>
        <v>0</v>
      </c>
      <c r="C75" s="330"/>
      <c r="D75" s="330"/>
      <c r="E75" s="330"/>
      <c r="F75" s="330"/>
      <c r="G75" s="330"/>
      <c r="H75" s="330"/>
      <c r="I75" s="341"/>
      <c r="J75" s="100"/>
      <c r="P75" s="121"/>
    </row>
    <row r="76" spans="1:16" ht="15.75" thickBot="1" x14ac:dyDescent="0.25">
      <c r="A76" s="52"/>
      <c r="B76" s="134"/>
      <c r="C76" s="359"/>
      <c r="D76" s="345"/>
      <c r="E76" s="135"/>
      <c r="F76" s="135"/>
      <c r="G76" s="135"/>
      <c r="H76" s="135"/>
      <c r="I76" s="342"/>
      <c r="N76" s="100"/>
    </row>
    <row r="77" spans="1:16" x14ac:dyDescent="0.2">
      <c r="A77" s="4" t="s">
        <v>318</v>
      </c>
      <c r="B77" s="343"/>
      <c r="C77" s="358" t="s">
        <v>305</v>
      </c>
      <c r="D77" s="319"/>
      <c r="E77" s="135"/>
      <c r="F77" s="135"/>
      <c r="G77" s="135"/>
      <c r="H77" s="135"/>
      <c r="I77" s="342"/>
      <c r="N77" s="100"/>
    </row>
    <row r="78" spans="1:16" x14ac:dyDescent="0.2">
      <c r="A78" s="104" t="s">
        <v>319</v>
      </c>
      <c r="B78" s="343"/>
      <c r="C78" s="357" t="s">
        <v>306</v>
      </c>
      <c r="D78" s="135"/>
      <c r="E78" s="135"/>
      <c r="F78" s="135"/>
      <c r="G78" s="135"/>
      <c r="H78" s="135"/>
      <c r="I78" s="342"/>
      <c r="N78" s="100"/>
    </row>
    <row r="79" spans="1:16" ht="13.5" thickBot="1" x14ac:dyDescent="0.25">
      <c r="A79" s="7" t="s">
        <v>301</v>
      </c>
      <c r="B79" s="72"/>
      <c r="C79" s="72"/>
      <c r="D79" s="72"/>
      <c r="E79" s="72"/>
      <c r="F79" s="72"/>
      <c r="G79" s="72"/>
      <c r="H79" s="72"/>
      <c r="I79" s="219" t="s">
        <v>325</v>
      </c>
      <c r="N79" s="100"/>
    </row>
    <row r="80" spans="1:16" x14ac:dyDescent="0.2">
      <c r="A80" s="136"/>
      <c r="B80" s="112"/>
      <c r="C80" s="112"/>
      <c r="D80" s="112"/>
      <c r="E80" s="112"/>
      <c r="F80" s="112"/>
      <c r="G80" s="112"/>
      <c r="H80" s="112"/>
      <c r="I80" s="152"/>
    </row>
    <row r="81" spans="1:9" x14ac:dyDescent="0.2">
      <c r="A81" s="136"/>
      <c r="B81" s="112"/>
      <c r="C81" s="112"/>
      <c r="D81" s="112"/>
      <c r="E81" s="112"/>
      <c r="F81" s="112"/>
      <c r="G81" s="112"/>
      <c r="H81" s="112"/>
      <c r="I81" s="152"/>
    </row>
    <row r="82" spans="1:9" x14ac:dyDescent="0.2">
      <c r="A82" s="137"/>
      <c r="B82" s="112"/>
      <c r="C82" s="112"/>
      <c r="D82" s="112"/>
      <c r="E82" s="112"/>
      <c r="F82" s="112"/>
      <c r="G82" s="112"/>
      <c r="H82" s="112"/>
      <c r="I82" s="152"/>
    </row>
    <row r="83" spans="1:9" x14ac:dyDescent="0.2">
      <c r="A83" s="137"/>
      <c r="B83" s="112"/>
      <c r="C83" s="112"/>
      <c r="D83" s="112"/>
      <c r="E83" s="112"/>
      <c r="F83" s="112"/>
      <c r="G83" s="112"/>
      <c r="H83" s="112"/>
      <c r="I83" s="152"/>
    </row>
    <row r="84" spans="1:9" x14ac:dyDescent="0.2">
      <c r="A84" s="136"/>
      <c r="B84" s="112"/>
      <c r="C84" s="112"/>
      <c r="D84" s="112"/>
      <c r="E84" s="112"/>
      <c r="F84" s="112"/>
      <c r="G84" s="112"/>
      <c r="H84" s="112"/>
    </row>
    <row r="85" spans="1:9" x14ac:dyDescent="0.2">
      <c r="B85" s="112"/>
      <c r="C85" s="112"/>
      <c r="D85" s="112"/>
      <c r="E85" s="112"/>
      <c r="F85" s="112"/>
      <c r="G85" s="112"/>
      <c r="H85" s="112"/>
    </row>
  </sheetData>
  <mergeCells count="2">
    <mergeCell ref="A1:I1"/>
    <mergeCell ref="A2:I2"/>
  </mergeCells>
  <printOptions horizontalCentered="1" verticalCentered="1" gridLines="1"/>
  <pageMargins left="1.26" right="0.11811023622047245" top="0.13" bottom="0.15748031496062992" header="0.13" footer="0.15748031496062992"/>
  <pageSetup paperSize="5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D676-4723-4245-B882-EE97F1A70EEF}">
  <sheetPr>
    <tabColor theme="0"/>
  </sheetPr>
  <dimension ref="C5:H20"/>
  <sheetViews>
    <sheetView workbookViewId="0">
      <selection activeCell="C6" sqref="C6:H6"/>
    </sheetView>
  </sheetViews>
  <sheetFormatPr baseColWidth="10" defaultRowHeight="12.75" x14ac:dyDescent="0.2"/>
  <cols>
    <col min="3" max="3" width="20.140625" customWidth="1"/>
    <col min="5" max="5" width="24.140625" customWidth="1"/>
    <col min="6" max="6" width="24.85546875" customWidth="1"/>
    <col min="7" max="7" width="21" customWidth="1"/>
    <col min="8" max="8" width="26.7109375" customWidth="1"/>
  </cols>
  <sheetData>
    <row r="5" spans="3:8" ht="13.5" thickBot="1" x14ac:dyDescent="0.25"/>
    <row r="6" spans="3:8" ht="15" x14ac:dyDescent="0.25">
      <c r="C6" s="458" t="s">
        <v>297</v>
      </c>
      <c r="D6" s="459"/>
      <c r="E6" s="459"/>
      <c r="F6" s="459"/>
      <c r="G6" s="459"/>
      <c r="H6" s="460"/>
    </row>
    <row r="7" spans="3:8" ht="15.75" thickBot="1" x14ac:dyDescent="0.3">
      <c r="C7" s="461" t="s">
        <v>320</v>
      </c>
      <c r="D7" s="462"/>
      <c r="E7" s="462"/>
      <c r="F7" s="462"/>
      <c r="G7" s="462"/>
      <c r="H7" s="463"/>
    </row>
    <row r="8" spans="3:8" s="387" customFormat="1" ht="15" x14ac:dyDescent="0.25">
      <c r="C8" s="384"/>
      <c r="D8" s="385"/>
      <c r="E8" s="385"/>
      <c r="F8" s="385"/>
      <c r="G8" s="385"/>
      <c r="H8" s="386" t="s">
        <v>346</v>
      </c>
    </row>
    <row r="9" spans="3:8" x14ac:dyDescent="0.2">
      <c r="C9" s="24"/>
      <c r="H9" s="26"/>
    </row>
    <row r="10" spans="3:8" ht="13.5" thickBot="1" x14ac:dyDescent="0.25">
      <c r="C10" s="464" t="s">
        <v>334</v>
      </c>
      <c r="D10" s="465"/>
      <c r="E10" s="465"/>
      <c r="F10" s="465"/>
      <c r="G10" s="465"/>
      <c r="H10" s="466"/>
    </row>
    <row r="11" spans="3:8" ht="13.5" thickBot="1" x14ac:dyDescent="0.25">
      <c r="C11" s="370" t="s">
        <v>308</v>
      </c>
      <c r="D11" s="371" t="s">
        <v>134</v>
      </c>
      <c r="E11" s="372"/>
      <c r="F11" s="373" t="s">
        <v>309</v>
      </c>
      <c r="G11" s="373" t="s">
        <v>310</v>
      </c>
      <c r="H11" s="374" t="s">
        <v>311</v>
      </c>
    </row>
    <row r="12" spans="3:8" ht="13.5" thickBot="1" x14ac:dyDescent="0.25">
      <c r="C12" s="375" t="s">
        <v>312</v>
      </c>
      <c r="D12" s="467" t="s">
        <v>313</v>
      </c>
      <c r="E12" s="468"/>
      <c r="F12" s="376">
        <f>SUM(F13:F14)</f>
        <v>372698135.34000003</v>
      </c>
      <c r="G12" s="376">
        <f>SUM(G13:G14)</f>
        <v>326361817</v>
      </c>
      <c r="H12" s="377">
        <f>SUM(H13:H14)</f>
        <v>46336318.340000004</v>
      </c>
    </row>
    <row r="13" spans="3:8" x14ac:dyDescent="0.2">
      <c r="C13" s="388" t="s">
        <v>314</v>
      </c>
      <c r="D13" s="389" t="s">
        <v>126</v>
      </c>
      <c r="E13" s="390"/>
      <c r="F13" s="391">
        <v>305461098</v>
      </c>
      <c r="G13" s="391">
        <f>235133268+21450761+14361082</f>
        <v>270945111</v>
      </c>
      <c r="H13" s="392">
        <f>+F13-G13</f>
        <v>34515987</v>
      </c>
    </row>
    <row r="14" spans="3:8" ht="13.5" thickBot="1" x14ac:dyDescent="0.25">
      <c r="C14" s="378" t="s">
        <v>315</v>
      </c>
      <c r="D14" s="379" t="s">
        <v>9</v>
      </c>
      <c r="E14" s="380"/>
      <c r="F14" s="381">
        <v>67237037.340000004</v>
      </c>
      <c r="G14" s="393">
        <f>52083373+3333333</f>
        <v>55416706</v>
      </c>
      <c r="H14" s="382">
        <f t="shared" ref="H14" si="0">+F14-G14</f>
        <v>11820331.340000004</v>
      </c>
    </row>
    <row r="15" spans="3:8" x14ac:dyDescent="0.2">
      <c r="C15" s="24"/>
      <c r="H15" s="26"/>
    </row>
    <row r="16" spans="3:8" x14ac:dyDescent="0.2">
      <c r="C16" s="24"/>
      <c r="H16" s="26"/>
    </row>
    <row r="17" spans="3:8" ht="13.5" thickBot="1" x14ac:dyDescent="0.25">
      <c r="C17" s="13"/>
      <c r="D17" s="14"/>
      <c r="H17" s="26"/>
    </row>
    <row r="18" spans="3:8" x14ac:dyDescent="0.2">
      <c r="C18" s="4" t="s">
        <v>316</v>
      </c>
      <c r="D18" s="349"/>
      <c r="H18" s="26"/>
    </row>
    <row r="19" spans="3:8" x14ac:dyDescent="0.2">
      <c r="C19" s="331" t="s">
        <v>317</v>
      </c>
      <c r="D19" s="349"/>
      <c r="H19" s="26"/>
    </row>
    <row r="20" spans="3:8" ht="13.5" thickBot="1" x14ac:dyDescent="0.25">
      <c r="C20" s="383"/>
      <c r="D20" s="350"/>
      <c r="E20" s="14"/>
      <c r="F20" s="14"/>
      <c r="G20" s="14"/>
      <c r="H20" s="18"/>
    </row>
  </sheetData>
  <mergeCells count="4">
    <mergeCell ref="C6:H6"/>
    <mergeCell ref="C7:H7"/>
    <mergeCell ref="C10:H10"/>
    <mergeCell ref="D12:E12"/>
  </mergeCells>
  <pageMargins left="2.1800000000000002" right="0.7" top="2.1800000000000002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N92"/>
  <sheetViews>
    <sheetView topLeftCell="A47" workbookViewId="0">
      <selection activeCell="L84" sqref="L84"/>
    </sheetView>
  </sheetViews>
  <sheetFormatPr baseColWidth="10" defaultColWidth="8.85546875" defaultRowHeight="12.75" x14ac:dyDescent="0.2"/>
  <cols>
    <col min="1" max="1" width="0.140625" customWidth="1"/>
    <col min="2" max="2" width="34.140625" customWidth="1"/>
    <col min="3" max="3" width="18.5703125" customWidth="1"/>
    <col min="4" max="4" width="18.85546875" customWidth="1"/>
    <col min="5" max="5" width="16.28515625" customWidth="1"/>
    <col min="6" max="6" width="17.7109375" customWidth="1"/>
    <col min="7" max="7" width="16.5703125" customWidth="1"/>
    <col min="8" max="8" width="9" customWidth="1"/>
    <col min="9" max="9" width="17.85546875" customWidth="1"/>
    <col min="10" max="10" width="8.42578125" customWidth="1"/>
    <col min="11" max="11" width="1.140625" customWidth="1"/>
    <col min="12" max="12" width="16.5703125" bestFit="1" customWidth="1"/>
    <col min="13" max="256" width="11.42578125" customWidth="1"/>
  </cols>
  <sheetData>
    <row r="1" spans="1:11" x14ac:dyDescent="0.2">
      <c r="A1" s="9"/>
      <c r="B1" s="9"/>
      <c r="C1" s="10"/>
      <c r="D1" s="10"/>
      <c r="E1" s="10"/>
      <c r="F1" s="10"/>
      <c r="G1" s="10"/>
      <c r="H1" s="11"/>
      <c r="I1" s="11"/>
      <c r="J1" s="11"/>
      <c r="K1" s="12"/>
    </row>
    <row r="2" spans="1:11" ht="13.5" thickBot="1" x14ac:dyDescent="0.25">
      <c r="A2" s="6"/>
      <c r="B2" s="6"/>
      <c r="C2" s="160"/>
      <c r="D2" s="160"/>
      <c r="E2" s="160"/>
      <c r="F2" s="160"/>
      <c r="G2" s="160"/>
      <c r="H2" s="56"/>
      <c r="I2" s="56"/>
      <c r="J2" s="56"/>
      <c r="K2" s="1"/>
    </row>
    <row r="3" spans="1:11" x14ac:dyDescent="0.2">
      <c r="A3" s="4"/>
      <c r="B3" s="469" t="s">
        <v>297</v>
      </c>
      <c r="C3" s="470"/>
      <c r="D3" s="470"/>
      <c r="E3" s="470"/>
      <c r="F3" s="470"/>
      <c r="G3" s="470"/>
      <c r="H3" s="470"/>
      <c r="I3" s="470"/>
      <c r="J3" s="471"/>
      <c r="K3" s="5"/>
    </row>
    <row r="4" spans="1:11" ht="13.5" thickBot="1" x14ac:dyDescent="0.25">
      <c r="A4" s="4"/>
      <c r="B4" s="472" t="s">
        <v>333</v>
      </c>
      <c r="C4" s="473"/>
      <c r="D4" s="473"/>
      <c r="E4" s="473"/>
      <c r="F4" s="473"/>
      <c r="G4" s="473"/>
      <c r="H4" s="473"/>
      <c r="I4" s="473"/>
      <c r="J4" s="474"/>
      <c r="K4" s="5"/>
    </row>
    <row r="5" spans="1:11" x14ac:dyDescent="0.2">
      <c r="A5" s="6"/>
      <c r="B5" s="6"/>
      <c r="C5" s="160" t="s">
        <v>29</v>
      </c>
      <c r="D5" s="160"/>
      <c r="E5" s="160"/>
      <c r="F5" s="160"/>
      <c r="G5" s="160"/>
      <c r="H5" s="56"/>
      <c r="I5" s="56"/>
      <c r="J5" s="1"/>
      <c r="K5" s="1"/>
    </row>
    <row r="6" spans="1:11" ht="13.5" thickBot="1" x14ac:dyDescent="0.25">
      <c r="A6" s="4"/>
      <c r="B6" s="38"/>
      <c r="C6" s="33"/>
      <c r="D6" s="33"/>
      <c r="E6" s="35"/>
      <c r="F6" s="33"/>
      <c r="G6" s="33"/>
      <c r="H6" s="34" t="s">
        <v>30</v>
      </c>
      <c r="I6" s="35"/>
      <c r="J6" s="36" t="s">
        <v>30</v>
      </c>
      <c r="K6" s="5"/>
    </row>
    <row r="7" spans="1:11" ht="13.5" thickBot="1" x14ac:dyDescent="0.25">
      <c r="A7" s="4"/>
      <c r="B7" s="78" t="s">
        <v>1</v>
      </c>
      <c r="C7" s="79" t="s">
        <v>2</v>
      </c>
      <c r="D7" s="79" t="s">
        <v>31</v>
      </c>
      <c r="E7" s="37" t="s">
        <v>127</v>
      </c>
      <c r="F7" s="19" t="s">
        <v>32</v>
      </c>
      <c r="G7" s="19" t="s">
        <v>49</v>
      </c>
      <c r="H7" s="19" t="s">
        <v>33</v>
      </c>
      <c r="I7" s="19" t="s">
        <v>34</v>
      </c>
      <c r="J7" s="19" t="s">
        <v>35</v>
      </c>
      <c r="K7" s="5"/>
    </row>
    <row r="8" spans="1:11" x14ac:dyDescent="0.2">
      <c r="A8" s="6"/>
      <c r="B8" s="82"/>
      <c r="C8" s="83"/>
      <c r="D8" s="84"/>
      <c r="E8" s="11"/>
      <c r="F8" s="10"/>
      <c r="G8" s="10"/>
      <c r="H8" s="11"/>
      <c r="I8" s="11"/>
      <c r="J8" s="12"/>
      <c r="K8" s="1"/>
    </row>
    <row r="9" spans="1:11" x14ac:dyDescent="0.2">
      <c r="A9" s="4"/>
      <c r="B9" s="85" t="s">
        <v>36</v>
      </c>
      <c r="C9" s="86"/>
      <c r="D9" s="154"/>
      <c r="E9" s="167"/>
      <c r="F9" s="142"/>
      <c r="G9" s="142"/>
      <c r="H9" s="167"/>
      <c r="J9" s="5"/>
      <c r="K9" s="5"/>
    </row>
    <row r="10" spans="1:11" ht="13.5" thickBot="1" x14ac:dyDescent="0.25">
      <c r="A10" s="6"/>
      <c r="B10" s="88" t="s">
        <v>37</v>
      </c>
      <c r="C10" s="89" t="s">
        <v>38</v>
      </c>
      <c r="D10" s="90" t="s">
        <v>38</v>
      </c>
      <c r="E10" s="56"/>
      <c r="F10" s="160"/>
      <c r="G10" s="160" t="s">
        <v>39</v>
      </c>
      <c r="H10" s="56"/>
      <c r="I10" s="56" t="s">
        <v>40</v>
      </c>
      <c r="J10" s="1"/>
      <c r="K10" s="1"/>
    </row>
    <row r="11" spans="1:11" x14ac:dyDescent="0.2">
      <c r="A11" s="6"/>
      <c r="B11" s="409" t="s">
        <v>84</v>
      </c>
      <c r="C11" s="94"/>
      <c r="D11" s="94"/>
      <c r="E11" s="22"/>
      <c r="F11" s="22"/>
      <c r="G11" s="22"/>
      <c r="H11" s="43"/>
      <c r="I11" s="22"/>
      <c r="J11" s="39"/>
      <c r="K11" s="1"/>
    </row>
    <row r="12" spans="1:11" x14ac:dyDescent="0.2">
      <c r="A12" s="6"/>
      <c r="B12" s="410" t="s">
        <v>56</v>
      </c>
      <c r="C12" s="351">
        <v>3745228867</v>
      </c>
      <c r="D12" s="351">
        <f>C12</f>
        <v>3745228867</v>
      </c>
      <c r="E12" s="408"/>
      <c r="F12" s="408"/>
      <c r="G12" s="180">
        <v>199736115</v>
      </c>
      <c r="H12" s="44">
        <f t="shared" ref="H12:H14" si="0">G12/D12</f>
        <v>5.3330816912129715E-2</v>
      </c>
      <c r="I12" s="23">
        <f t="shared" ref="I12:I14" si="1">D12-G12</f>
        <v>3545492752</v>
      </c>
      <c r="J12" s="169">
        <f t="shared" ref="J12:J14" si="2">I12/D12</f>
        <v>0.94666918308787029</v>
      </c>
      <c r="K12" s="1"/>
    </row>
    <row r="13" spans="1:11" x14ac:dyDescent="0.2">
      <c r="A13" s="6"/>
      <c r="B13" s="410" t="s">
        <v>321</v>
      </c>
      <c r="C13" s="351">
        <v>10000000</v>
      </c>
      <c r="D13" s="351">
        <f t="shared" ref="D13:D15" si="3">C13</f>
        <v>10000000</v>
      </c>
      <c r="E13" s="408"/>
      <c r="F13" s="408"/>
      <c r="G13" s="180">
        <v>3822652</v>
      </c>
      <c r="H13" s="44">
        <f t="shared" si="0"/>
        <v>0.38226520000000003</v>
      </c>
      <c r="I13" s="23">
        <f t="shared" si="1"/>
        <v>6177348</v>
      </c>
      <c r="J13" s="169">
        <f t="shared" si="2"/>
        <v>0.61773480000000003</v>
      </c>
      <c r="K13" s="1"/>
    </row>
    <row r="14" spans="1:11" x14ac:dyDescent="0.2">
      <c r="A14" s="6"/>
      <c r="B14" s="410" t="s">
        <v>322</v>
      </c>
      <c r="C14" s="351">
        <v>3240000000</v>
      </c>
      <c r="D14" s="351">
        <f t="shared" si="3"/>
        <v>3240000000</v>
      </c>
      <c r="E14" s="408"/>
      <c r="F14" s="408"/>
      <c r="G14" s="180">
        <v>94656774.790000007</v>
      </c>
      <c r="H14" s="44">
        <f t="shared" si="0"/>
        <v>2.9215053947530868E-2</v>
      </c>
      <c r="I14" s="23">
        <f t="shared" si="1"/>
        <v>3145343225.21</v>
      </c>
      <c r="J14" s="169">
        <f t="shared" si="2"/>
        <v>0.97078494605246912</v>
      </c>
      <c r="K14" s="1"/>
    </row>
    <row r="15" spans="1:11" ht="13.5" thickBot="1" x14ac:dyDescent="0.25">
      <c r="A15" s="6"/>
      <c r="B15" s="411" t="s">
        <v>83</v>
      </c>
      <c r="C15" s="355">
        <v>560000000</v>
      </c>
      <c r="D15" s="351">
        <f t="shared" si="3"/>
        <v>560000000</v>
      </c>
      <c r="E15" s="23">
        <v>0</v>
      </c>
      <c r="F15" s="23">
        <v>0</v>
      </c>
      <c r="G15" s="412">
        <v>34524898.799999997</v>
      </c>
      <c r="H15" s="413">
        <f>G15/D15</f>
        <v>6.1651604999999991E-2</v>
      </c>
      <c r="I15" s="23">
        <f>D15-G15</f>
        <v>525475101.19999999</v>
      </c>
      <c r="J15" s="169">
        <f>I15/D15</f>
        <v>0.938348395</v>
      </c>
      <c r="K15" s="1"/>
    </row>
    <row r="16" spans="1:11" ht="13.5" thickBot="1" x14ac:dyDescent="0.25">
      <c r="A16" s="6"/>
      <c r="B16" s="117" t="s">
        <v>3</v>
      </c>
      <c r="C16" s="118">
        <f>SUM(C11:C15)</f>
        <v>7555228867</v>
      </c>
      <c r="D16" s="165">
        <f>SUM(D11:D15)</f>
        <v>7555228867</v>
      </c>
      <c r="E16" s="365">
        <f>SUM(E11:E15)</f>
        <v>0</v>
      </c>
      <c r="F16" s="365">
        <f>SUM(F11:F15)</f>
        <v>0</v>
      </c>
      <c r="G16" s="165">
        <f>SUM(G12:G15)</f>
        <v>332740440.59000003</v>
      </c>
      <c r="H16" s="414">
        <f>G16/D16</f>
        <v>4.4041080217087226E-2</v>
      </c>
      <c r="I16" s="366">
        <f>SUM(I11:I15)</f>
        <v>7222488426.4099998</v>
      </c>
      <c r="J16" s="183">
        <f>I16/D16</f>
        <v>0.95595891978291281</v>
      </c>
      <c r="K16" s="1"/>
    </row>
    <row r="17" spans="1:12" ht="13.5" thickBot="1" x14ac:dyDescent="0.25">
      <c r="A17" s="6"/>
      <c r="B17" s="104"/>
      <c r="C17" s="83"/>
      <c r="D17" s="105"/>
      <c r="E17" s="161"/>
      <c r="F17" s="161"/>
      <c r="G17" s="161"/>
      <c r="H17" s="162"/>
      <c r="I17" s="161"/>
      <c r="J17" s="163"/>
      <c r="K17" s="1"/>
    </row>
    <row r="18" spans="1:12" ht="13.5" thickBot="1" x14ac:dyDescent="0.25">
      <c r="A18" s="4"/>
      <c r="B18" s="107" t="s">
        <v>4</v>
      </c>
      <c r="C18" s="86"/>
      <c r="D18" s="108"/>
      <c r="E18" s="164"/>
      <c r="F18" s="164"/>
      <c r="G18" s="188" t="s">
        <v>50</v>
      </c>
      <c r="H18" s="162"/>
      <c r="I18" s="164"/>
      <c r="J18" s="163"/>
      <c r="K18" s="5"/>
    </row>
    <row r="19" spans="1:12" ht="13.5" thickBot="1" x14ac:dyDescent="0.25">
      <c r="A19" s="6"/>
      <c r="B19" s="110" t="s">
        <v>126</v>
      </c>
      <c r="C19" s="111" t="s">
        <v>41</v>
      </c>
      <c r="D19" s="91" t="s">
        <v>41</v>
      </c>
      <c r="E19" s="160" t="s">
        <v>44</v>
      </c>
      <c r="F19" s="160" t="s">
        <v>43</v>
      </c>
      <c r="G19" s="160" t="s">
        <v>42</v>
      </c>
      <c r="H19" s="56"/>
      <c r="I19" s="160" t="s">
        <v>45</v>
      </c>
      <c r="J19" s="26"/>
      <c r="K19" s="1"/>
    </row>
    <row r="20" spans="1:12" x14ac:dyDescent="0.2">
      <c r="A20" s="4"/>
      <c r="B20" s="93" t="s">
        <v>85</v>
      </c>
      <c r="C20" s="94">
        <v>1613616502</v>
      </c>
      <c r="D20" s="94">
        <f>C20</f>
        <v>1613616502</v>
      </c>
      <c r="E20" s="322">
        <v>0</v>
      </c>
      <c r="F20" s="178">
        <v>121142380</v>
      </c>
      <c r="G20" s="20">
        <v>121142380</v>
      </c>
      <c r="H20" s="40">
        <f>(G20+F20)/D20</f>
        <v>0.15015015011292937</v>
      </c>
      <c r="I20" s="20">
        <f>D20-E20-F20</f>
        <v>1492474122</v>
      </c>
      <c r="J20" s="39">
        <f t="shared" ref="J20:J37" si="4">I20/D20</f>
        <v>0.92492492494353529</v>
      </c>
      <c r="K20" s="5"/>
      <c r="L20" s="321"/>
    </row>
    <row r="21" spans="1:12" x14ac:dyDescent="0.2">
      <c r="A21" s="6"/>
      <c r="B21" s="98" t="s">
        <v>86</v>
      </c>
      <c r="C21" s="172">
        <v>71156006</v>
      </c>
      <c r="D21" s="99">
        <f>C21</f>
        <v>71156006</v>
      </c>
      <c r="E21" s="23">
        <v>0</v>
      </c>
      <c r="F21" s="176">
        <v>0</v>
      </c>
      <c r="G21" s="27">
        <v>0</v>
      </c>
      <c r="H21" s="41">
        <f>(G21+F21)/D21</f>
        <v>0</v>
      </c>
      <c r="I21" s="27">
        <f>+D21-E21-F21</f>
        <v>71156006</v>
      </c>
      <c r="J21" s="169">
        <f t="shared" si="4"/>
        <v>1</v>
      </c>
      <c r="K21" s="1"/>
      <c r="L21" s="321"/>
    </row>
    <row r="22" spans="1:12" x14ac:dyDescent="0.2">
      <c r="A22" s="6"/>
      <c r="B22" s="98" t="s">
        <v>87</v>
      </c>
      <c r="C22" s="172">
        <v>47063815</v>
      </c>
      <c r="D22" s="99">
        <f t="shared" ref="D22:D36" si="5">C22</f>
        <v>47063815</v>
      </c>
      <c r="E22" s="23">
        <v>0</v>
      </c>
      <c r="F22" s="17">
        <v>8980161</v>
      </c>
      <c r="G22" s="23">
        <v>3622650</v>
      </c>
      <c r="H22" s="41">
        <f t="shared" ref="H22:H37" si="6">(G22+F22)/D22</f>
        <v>0.26778133051899849</v>
      </c>
      <c r="I22" s="27">
        <f t="shared" ref="I22:I36" si="7">+D22-E22-F22</f>
        <v>38083654</v>
      </c>
      <c r="J22" s="169">
        <f t="shared" si="4"/>
        <v>0.80919181753540381</v>
      </c>
      <c r="K22" s="1"/>
      <c r="L22" s="321"/>
    </row>
    <row r="23" spans="1:12" x14ac:dyDescent="0.2">
      <c r="A23" s="6"/>
      <c r="B23" s="98" t="s">
        <v>6</v>
      </c>
      <c r="C23" s="172">
        <v>152897470</v>
      </c>
      <c r="D23" s="99">
        <f t="shared" si="5"/>
        <v>152897470</v>
      </c>
      <c r="E23" s="23">
        <v>0</v>
      </c>
      <c r="F23" s="17">
        <v>12574338</v>
      </c>
      <c r="G23" s="23">
        <v>0</v>
      </c>
      <c r="H23" s="41">
        <f t="shared" si="6"/>
        <v>8.2240327456039652E-2</v>
      </c>
      <c r="I23" s="27">
        <f t="shared" si="7"/>
        <v>140323132</v>
      </c>
      <c r="J23" s="169">
        <f t="shared" si="4"/>
        <v>0.91775967254396029</v>
      </c>
      <c r="K23" s="1"/>
      <c r="L23" s="321"/>
    </row>
    <row r="24" spans="1:12" x14ac:dyDescent="0.2">
      <c r="A24" s="6"/>
      <c r="B24" s="98" t="s">
        <v>5</v>
      </c>
      <c r="C24" s="172">
        <v>79384392</v>
      </c>
      <c r="D24" s="99">
        <f t="shared" si="5"/>
        <v>79384392</v>
      </c>
      <c r="E24" s="23">
        <v>0</v>
      </c>
      <c r="F24" s="17">
        <v>15127025</v>
      </c>
      <c r="G24" s="23">
        <v>6090300</v>
      </c>
      <c r="H24" s="41">
        <f t="shared" si="6"/>
        <v>0.26727325693947496</v>
      </c>
      <c r="I24" s="27">
        <f t="shared" si="7"/>
        <v>64257367</v>
      </c>
      <c r="J24" s="169">
        <f t="shared" si="4"/>
        <v>0.8094458542933729</v>
      </c>
      <c r="K24" s="1"/>
      <c r="L24" s="321"/>
    </row>
    <row r="25" spans="1:12" x14ac:dyDescent="0.2">
      <c r="A25" s="6"/>
      <c r="B25" s="98" t="s">
        <v>88</v>
      </c>
      <c r="C25" s="172">
        <v>23548917</v>
      </c>
      <c r="D25" s="99">
        <f t="shared" si="5"/>
        <v>23548917</v>
      </c>
      <c r="E25" s="23">
        <v>0</v>
      </c>
      <c r="F25" s="17">
        <v>14439693</v>
      </c>
      <c r="G25" s="23">
        <v>10350429</v>
      </c>
      <c r="H25" s="41">
        <f t="shared" si="6"/>
        <v>1.052707519415861</v>
      </c>
      <c r="I25" s="27">
        <f t="shared" si="7"/>
        <v>9109224</v>
      </c>
      <c r="J25" s="169">
        <f t="shared" si="4"/>
        <v>0.38682135573368404</v>
      </c>
      <c r="K25" s="1"/>
      <c r="L25" s="321"/>
    </row>
    <row r="26" spans="1:12" x14ac:dyDescent="0.2">
      <c r="A26" s="6"/>
      <c r="B26" s="98" t="s">
        <v>90</v>
      </c>
      <c r="C26" s="172">
        <v>202107508</v>
      </c>
      <c r="D26" s="99">
        <f t="shared" si="5"/>
        <v>202107508</v>
      </c>
      <c r="E26" s="23">
        <v>0</v>
      </c>
      <c r="F26" s="17">
        <v>14373203</v>
      </c>
      <c r="G26" s="23">
        <v>0</v>
      </c>
      <c r="H26" s="41">
        <f t="shared" si="6"/>
        <v>7.1116620764034161E-2</v>
      </c>
      <c r="I26" s="27">
        <f t="shared" si="7"/>
        <v>187734305</v>
      </c>
      <c r="J26" s="169">
        <f t="shared" si="4"/>
        <v>0.92888337923596587</v>
      </c>
      <c r="K26" s="1"/>
      <c r="L26" s="321"/>
    </row>
    <row r="27" spans="1:12" x14ac:dyDescent="0.2">
      <c r="A27" s="6"/>
      <c r="B27" s="98" t="s">
        <v>89</v>
      </c>
      <c r="C27" s="172">
        <v>143159485</v>
      </c>
      <c r="D27" s="99">
        <f t="shared" si="5"/>
        <v>143159485</v>
      </c>
      <c r="E27" s="23">
        <v>0</v>
      </c>
      <c r="F27" s="17">
        <v>11903138</v>
      </c>
      <c r="G27" s="23">
        <v>0</v>
      </c>
      <c r="H27" s="41">
        <f t="shared" si="6"/>
        <v>8.3145996229310265E-2</v>
      </c>
      <c r="I27" s="27">
        <f t="shared" si="7"/>
        <v>131256347</v>
      </c>
      <c r="J27" s="169">
        <f t="shared" si="4"/>
        <v>0.91685400377068971</v>
      </c>
      <c r="K27" s="1"/>
      <c r="L27" s="321"/>
    </row>
    <row r="28" spans="1:12" x14ac:dyDescent="0.2">
      <c r="A28" s="6"/>
      <c r="B28" s="98" t="s">
        <v>46</v>
      </c>
      <c r="C28" s="172">
        <v>16996535</v>
      </c>
      <c r="D28" s="99">
        <f t="shared" si="5"/>
        <v>16996535</v>
      </c>
      <c r="E28" s="23">
        <v>0</v>
      </c>
      <c r="F28" s="17">
        <v>1397809</v>
      </c>
      <c r="G28" s="23">
        <v>0</v>
      </c>
      <c r="H28" s="41">
        <f t="shared" si="6"/>
        <v>8.2240821438016629E-2</v>
      </c>
      <c r="I28" s="27">
        <f t="shared" si="7"/>
        <v>15598726</v>
      </c>
      <c r="J28" s="169">
        <f t="shared" si="4"/>
        <v>0.91775917856198341</v>
      </c>
      <c r="K28" s="1"/>
      <c r="L28" s="321"/>
    </row>
    <row r="29" spans="1:12" x14ac:dyDescent="0.2">
      <c r="A29" s="6"/>
      <c r="B29" s="98" t="s">
        <v>91</v>
      </c>
      <c r="C29" s="172">
        <v>74911367</v>
      </c>
      <c r="D29" s="99">
        <f t="shared" si="5"/>
        <v>74911367</v>
      </c>
      <c r="E29" s="23">
        <v>0</v>
      </c>
      <c r="F29" s="17">
        <v>6151900</v>
      </c>
      <c r="G29" s="23">
        <v>0</v>
      </c>
      <c r="H29" s="41">
        <f t="shared" si="6"/>
        <v>8.2122383376076954E-2</v>
      </c>
      <c r="I29" s="27">
        <f t="shared" si="7"/>
        <v>68759467</v>
      </c>
      <c r="J29" s="169">
        <f t="shared" si="4"/>
        <v>0.91787761662392309</v>
      </c>
      <c r="K29" s="1"/>
      <c r="L29" s="321"/>
    </row>
    <row r="30" spans="1:12" ht="18.75" x14ac:dyDescent="0.2">
      <c r="A30" s="6"/>
      <c r="B30" s="325" t="s">
        <v>92</v>
      </c>
      <c r="C30" s="172">
        <v>8791677</v>
      </c>
      <c r="D30" s="99">
        <f t="shared" si="5"/>
        <v>8791677</v>
      </c>
      <c r="E30" s="23">
        <v>0</v>
      </c>
      <c r="F30" s="17">
        <v>777200</v>
      </c>
      <c r="G30" s="23">
        <v>0</v>
      </c>
      <c r="H30" s="41">
        <f t="shared" si="6"/>
        <v>8.8401791831069318E-2</v>
      </c>
      <c r="I30" s="27">
        <f t="shared" si="7"/>
        <v>8014477</v>
      </c>
      <c r="J30" s="169">
        <f t="shared" si="4"/>
        <v>0.91159820816893067</v>
      </c>
      <c r="K30" s="1"/>
      <c r="L30" s="321"/>
    </row>
    <row r="31" spans="1:12" x14ac:dyDescent="0.2">
      <c r="A31" s="6"/>
      <c r="B31" s="98" t="s">
        <v>93</v>
      </c>
      <c r="C31" s="172">
        <v>56183525</v>
      </c>
      <c r="D31" s="99">
        <f t="shared" si="5"/>
        <v>56183525</v>
      </c>
      <c r="E31" s="23">
        <v>0</v>
      </c>
      <c r="F31" s="17">
        <v>4614200</v>
      </c>
      <c r="G31" s="23">
        <v>0</v>
      </c>
      <c r="H31" s="41">
        <f t="shared" si="6"/>
        <v>8.2127278414802204E-2</v>
      </c>
      <c r="I31" s="27">
        <f t="shared" si="7"/>
        <v>51569325</v>
      </c>
      <c r="J31" s="169">
        <f t="shared" si="4"/>
        <v>0.91787272158519784</v>
      </c>
      <c r="K31" s="1"/>
      <c r="L31" s="321"/>
    </row>
    <row r="32" spans="1:12" x14ac:dyDescent="0.2">
      <c r="A32" s="6"/>
      <c r="B32" s="98" t="s">
        <v>94</v>
      </c>
      <c r="C32" s="172">
        <v>37455684</v>
      </c>
      <c r="D32" s="99">
        <f t="shared" si="5"/>
        <v>37455684</v>
      </c>
      <c r="E32" s="23">
        <v>0</v>
      </c>
      <c r="F32" s="17">
        <v>3076400</v>
      </c>
      <c r="G32" s="23">
        <v>0</v>
      </c>
      <c r="H32" s="41">
        <f t="shared" si="6"/>
        <v>8.2134396477714838E-2</v>
      </c>
      <c r="I32" s="27">
        <f t="shared" si="7"/>
        <v>34379284</v>
      </c>
      <c r="J32" s="169">
        <f t="shared" si="4"/>
        <v>0.91786560352228519</v>
      </c>
      <c r="K32" s="1"/>
      <c r="L32" s="321"/>
    </row>
    <row r="33" spans="1:14" x14ac:dyDescent="0.2">
      <c r="A33" s="6"/>
      <c r="B33" s="98" t="s">
        <v>7</v>
      </c>
      <c r="C33" s="99">
        <v>38014534</v>
      </c>
      <c r="D33" s="99">
        <f t="shared" si="5"/>
        <v>38014534</v>
      </c>
      <c r="E33" s="23">
        <v>0</v>
      </c>
      <c r="F33" s="17">
        <v>0</v>
      </c>
      <c r="G33" s="23">
        <v>0</v>
      </c>
      <c r="H33" s="41">
        <f t="shared" si="6"/>
        <v>0</v>
      </c>
      <c r="I33" s="27">
        <f t="shared" si="7"/>
        <v>38014534</v>
      </c>
      <c r="J33" s="169">
        <f t="shared" si="4"/>
        <v>1</v>
      </c>
      <c r="K33" s="1"/>
      <c r="L33" s="321"/>
    </row>
    <row r="34" spans="1:14" x14ac:dyDescent="0.2">
      <c r="A34" s="6"/>
      <c r="B34" s="98" t="s">
        <v>95</v>
      </c>
      <c r="C34" s="99">
        <v>8964537</v>
      </c>
      <c r="D34" s="99">
        <f t="shared" si="5"/>
        <v>8964537</v>
      </c>
      <c r="E34" s="23">
        <v>0</v>
      </c>
      <c r="F34" s="17">
        <v>1679013</v>
      </c>
      <c r="G34" s="23">
        <v>690029</v>
      </c>
      <c r="H34" s="41">
        <f t="shared" si="6"/>
        <v>0.26426819366131232</v>
      </c>
      <c r="I34" s="27">
        <f t="shared" si="7"/>
        <v>7285524</v>
      </c>
      <c r="J34" s="169">
        <f t="shared" si="4"/>
        <v>0.81270499524961526</v>
      </c>
      <c r="K34" s="1"/>
      <c r="L34" s="321"/>
      <c r="N34" s="323"/>
    </row>
    <row r="35" spans="1:14" x14ac:dyDescent="0.2">
      <c r="A35" s="6"/>
      <c r="B35" s="98" t="s">
        <v>96</v>
      </c>
      <c r="C35" s="99">
        <v>525230000</v>
      </c>
      <c r="D35" s="99">
        <f t="shared" si="5"/>
        <v>525230000</v>
      </c>
      <c r="E35" s="23">
        <v>0</v>
      </c>
      <c r="F35" s="17">
        <v>308500000</v>
      </c>
      <c r="G35" s="23">
        <v>0</v>
      </c>
      <c r="H35" s="41">
        <f t="shared" si="6"/>
        <v>0.58736172724330293</v>
      </c>
      <c r="I35" s="27">
        <f t="shared" si="7"/>
        <v>216730000</v>
      </c>
      <c r="J35" s="169">
        <f t="shared" si="4"/>
        <v>0.41263827275669707</v>
      </c>
      <c r="K35" s="1"/>
      <c r="L35" s="321"/>
    </row>
    <row r="36" spans="1:14" ht="13.5" thickBot="1" x14ac:dyDescent="0.25">
      <c r="A36" s="6"/>
      <c r="B36" s="98" t="s">
        <v>97</v>
      </c>
      <c r="C36" s="155">
        <v>154700000</v>
      </c>
      <c r="D36" s="153">
        <f t="shared" si="5"/>
        <v>154700000</v>
      </c>
      <c r="E36" s="21">
        <v>0</v>
      </c>
      <c r="F36" s="42">
        <v>115066666</v>
      </c>
      <c r="G36" s="21">
        <v>0</v>
      </c>
      <c r="H36" s="46">
        <f t="shared" si="6"/>
        <v>0.74380521008403366</v>
      </c>
      <c r="I36" s="27">
        <f t="shared" si="7"/>
        <v>39633334</v>
      </c>
      <c r="J36" s="169">
        <f t="shared" si="4"/>
        <v>0.25619478991596639</v>
      </c>
      <c r="K36" s="1"/>
      <c r="L36" s="321"/>
    </row>
    <row r="37" spans="1:14" ht="13.5" thickBot="1" x14ac:dyDescent="0.25">
      <c r="A37" s="6" t="s">
        <v>47</v>
      </c>
      <c r="B37" s="159" t="s">
        <v>8</v>
      </c>
      <c r="C37" s="130">
        <f t="shared" ref="C37" si="8">SUM(C20:C36)</f>
        <v>3254181954</v>
      </c>
      <c r="D37" s="130">
        <f>SUM(D20:D36)</f>
        <v>3254181954</v>
      </c>
      <c r="E37" s="102">
        <f t="shared" ref="E37:G37" si="9">SUM(E20:E36)</f>
        <v>0</v>
      </c>
      <c r="F37" s="118">
        <f t="shared" si="9"/>
        <v>639803126</v>
      </c>
      <c r="G37" s="181">
        <f t="shared" si="9"/>
        <v>141895788</v>
      </c>
      <c r="H37" s="184">
        <f t="shared" si="6"/>
        <v>0.24021364663987071</v>
      </c>
      <c r="I37" s="118">
        <f>SUM(I20:I36)</f>
        <v>2614378828</v>
      </c>
      <c r="J37" s="185">
        <f t="shared" si="4"/>
        <v>0.80339048798007073</v>
      </c>
      <c r="K37" s="1"/>
      <c r="L37" s="321"/>
    </row>
    <row r="38" spans="1:14" ht="13.5" thickBot="1" x14ac:dyDescent="0.25">
      <c r="A38" s="6"/>
      <c r="B38" s="114" t="s">
        <v>9</v>
      </c>
      <c r="C38" s="83"/>
      <c r="D38" s="141"/>
      <c r="E38" s="161"/>
      <c r="F38" s="161"/>
      <c r="G38" s="161"/>
      <c r="H38" s="162"/>
      <c r="I38" s="161"/>
      <c r="J38" s="163"/>
      <c r="K38" s="1"/>
      <c r="L38" s="321"/>
    </row>
    <row r="39" spans="1:14" x14ac:dyDescent="0.2">
      <c r="A39" s="6"/>
      <c r="B39" s="326" t="s">
        <v>98</v>
      </c>
      <c r="C39" s="94">
        <v>37500000</v>
      </c>
      <c r="D39" s="173">
        <f>C39</f>
        <v>37500000</v>
      </c>
      <c r="E39" s="22">
        <v>0</v>
      </c>
      <c r="F39" s="22">
        <v>293056</v>
      </c>
      <c r="G39" s="16">
        <v>293056</v>
      </c>
      <c r="H39" s="40">
        <f>(G39+F39)/D39</f>
        <v>1.5629653333333333E-2</v>
      </c>
      <c r="I39" s="22">
        <f>D39-E39-F39</f>
        <v>37206944</v>
      </c>
      <c r="J39" s="39">
        <f t="shared" ref="J39:J67" si="10">I39/D39</f>
        <v>0.99218517333333334</v>
      </c>
      <c r="K39" s="1"/>
      <c r="L39" s="321"/>
    </row>
    <row r="40" spans="1:14" x14ac:dyDescent="0.2">
      <c r="A40" s="6"/>
      <c r="B40" s="156" t="s">
        <v>14</v>
      </c>
      <c r="C40" s="351">
        <v>106713180</v>
      </c>
      <c r="D40" s="99">
        <f>C40</f>
        <v>106713180</v>
      </c>
      <c r="E40" s="23">
        <v>0</v>
      </c>
      <c r="F40" s="23">
        <v>0</v>
      </c>
      <c r="G40" s="17">
        <v>0</v>
      </c>
      <c r="H40" s="41">
        <f t="shared" ref="H40:H67" si="11">(G40+F40)/D40</f>
        <v>0</v>
      </c>
      <c r="I40" s="23">
        <f>D40-E40-F40</f>
        <v>106713180</v>
      </c>
      <c r="J40" s="169">
        <f t="shared" si="10"/>
        <v>1</v>
      </c>
      <c r="K40" s="1"/>
      <c r="L40" s="321"/>
    </row>
    <row r="41" spans="1:14" x14ac:dyDescent="0.2">
      <c r="A41" s="6"/>
      <c r="B41" s="98" t="s">
        <v>99</v>
      </c>
      <c r="C41" s="172">
        <v>21052260</v>
      </c>
      <c r="D41" s="99">
        <f t="shared" ref="D41:D66" si="12">C41</f>
        <v>21052260</v>
      </c>
      <c r="E41" s="23">
        <v>0</v>
      </c>
      <c r="F41" s="23">
        <v>0</v>
      </c>
      <c r="G41" s="17">
        <v>0</v>
      </c>
      <c r="H41" s="41">
        <f t="shared" si="11"/>
        <v>0</v>
      </c>
      <c r="I41" s="23">
        <f t="shared" ref="I41:I66" si="13">D41-E41-F41</f>
        <v>21052260</v>
      </c>
      <c r="J41" s="169">
        <f t="shared" si="10"/>
        <v>1</v>
      </c>
      <c r="K41" s="1"/>
      <c r="L41" s="321"/>
    </row>
    <row r="42" spans="1:14" x14ac:dyDescent="0.2">
      <c r="A42" s="6"/>
      <c r="B42" s="98" t="s">
        <v>11</v>
      </c>
      <c r="C42" s="172">
        <v>64546500</v>
      </c>
      <c r="D42" s="99">
        <f t="shared" si="12"/>
        <v>64546500</v>
      </c>
      <c r="E42" s="23">
        <v>0</v>
      </c>
      <c r="F42" s="23">
        <v>0</v>
      </c>
      <c r="G42" s="17">
        <v>0</v>
      </c>
      <c r="H42" s="41">
        <f t="shared" si="11"/>
        <v>0</v>
      </c>
      <c r="I42" s="23">
        <f t="shared" si="13"/>
        <v>64546500</v>
      </c>
      <c r="J42" s="169">
        <f t="shared" si="10"/>
        <v>1</v>
      </c>
      <c r="K42" s="1"/>
      <c r="L42" s="321"/>
    </row>
    <row r="43" spans="1:14" x14ac:dyDescent="0.2">
      <c r="A43" s="6"/>
      <c r="B43" s="98" t="s">
        <v>100</v>
      </c>
      <c r="C43" s="172">
        <v>16650000</v>
      </c>
      <c r="D43" s="99">
        <f t="shared" si="12"/>
        <v>16650000</v>
      </c>
      <c r="E43" s="23">
        <v>0</v>
      </c>
      <c r="F43" s="23">
        <v>0</v>
      </c>
      <c r="G43" s="17">
        <v>0</v>
      </c>
      <c r="H43" s="41">
        <f t="shared" si="11"/>
        <v>0</v>
      </c>
      <c r="I43" s="23">
        <f t="shared" si="13"/>
        <v>16650000</v>
      </c>
      <c r="J43" s="169">
        <f t="shared" si="10"/>
        <v>1</v>
      </c>
      <c r="K43" s="1"/>
      <c r="L43" s="321"/>
    </row>
    <row r="44" spans="1:14" ht="18.75" x14ac:dyDescent="0.2">
      <c r="A44" s="6"/>
      <c r="B44" s="325" t="s">
        <v>101</v>
      </c>
      <c r="C44" s="172">
        <v>60000000</v>
      </c>
      <c r="D44" s="99">
        <f t="shared" si="12"/>
        <v>60000000</v>
      </c>
      <c r="E44" s="23">
        <v>0</v>
      </c>
      <c r="F44" s="23">
        <v>5640000</v>
      </c>
      <c r="G44" s="17">
        <v>0</v>
      </c>
      <c r="H44" s="41">
        <f t="shared" si="11"/>
        <v>9.4E-2</v>
      </c>
      <c r="I44" s="23">
        <f t="shared" si="13"/>
        <v>54360000</v>
      </c>
      <c r="J44" s="169">
        <f t="shared" si="10"/>
        <v>0.90600000000000003</v>
      </c>
      <c r="K44" s="1"/>
      <c r="L44" s="321"/>
    </row>
    <row r="45" spans="1:14" x14ac:dyDescent="0.2">
      <c r="A45" s="6"/>
      <c r="B45" s="98" t="s">
        <v>10</v>
      </c>
      <c r="C45" s="172">
        <v>25000000</v>
      </c>
      <c r="D45" s="99">
        <f t="shared" si="12"/>
        <v>25000000</v>
      </c>
      <c r="E45" s="23">
        <v>0</v>
      </c>
      <c r="F45" s="23">
        <v>9120000</v>
      </c>
      <c r="G45" s="17">
        <v>0</v>
      </c>
      <c r="H45" s="41">
        <f t="shared" si="11"/>
        <v>0.36480000000000001</v>
      </c>
      <c r="I45" s="23">
        <f t="shared" si="13"/>
        <v>15880000</v>
      </c>
      <c r="J45" s="169">
        <f t="shared" si="10"/>
        <v>0.63519999999999999</v>
      </c>
      <c r="K45" s="1"/>
      <c r="L45" s="321"/>
    </row>
    <row r="46" spans="1:14" x14ac:dyDescent="0.2">
      <c r="A46" s="6"/>
      <c r="B46" s="98" t="s">
        <v>102</v>
      </c>
      <c r="C46" s="172">
        <v>21200000</v>
      </c>
      <c r="D46" s="99">
        <f t="shared" si="12"/>
        <v>21200000</v>
      </c>
      <c r="E46" s="23">
        <v>0</v>
      </c>
      <c r="F46" s="23">
        <v>4680000</v>
      </c>
      <c r="G46" s="17">
        <v>0</v>
      </c>
      <c r="H46" s="41">
        <f t="shared" si="11"/>
        <v>0.22075471698113208</v>
      </c>
      <c r="I46" s="23">
        <f t="shared" si="13"/>
        <v>16520000</v>
      </c>
      <c r="J46" s="169">
        <f t="shared" si="10"/>
        <v>0.77924528301886797</v>
      </c>
      <c r="K46" s="1"/>
      <c r="L46" s="321"/>
    </row>
    <row r="47" spans="1:14" x14ac:dyDescent="0.2">
      <c r="A47" s="6"/>
      <c r="B47" s="98" t="s">
        <v>103</v>
      </c>
      <c r="C47" s="172">
        <v>15900000</v>
      </c>
      <c r="D47" s="99">
        <f t="shared" si="12"/>
        <v>15900000</v>
      </c>
      <c r="E47" s="23">
        <v>0</v>
      </c>
      <c r="F47" s="23">
        <v>4920000</v>
      </c>
      <c r="G47" s="17">
        <v>0</v>
      </c>
      <c r="H47" s="41">
        <f t="shared" si="11"/>
        <v>0.30943396226415093</v>
      </c>
      <c r="I47" s="23">
        <f t="shared" si="13"/>
        <v>10980000</v>
      </c>
      <c r="J47" s="169">
        <f t="shared" si="10"/>
        <v>0.69056603773584901</v>
      </c>
      <c r="K47" s="1"/>
      <c r="L47" s="321"/>
    </row>
    <row r="48" spans="1:14" x14ac:dyDescent="0.2">
      <c r="A48" s="6"/>
      <c r="B48" s="98" t="s">
        <v>104</v>
      </c>
      <c r="C48" s="172">
        <v>71020000</v>
      </c>
      <c r="D48" s="99">
        <f t="shared" si="12"/>
        <v>71020000</v>
      </c>
      <c r="E48" s="23">
        <v>0</v>
      </c>
      <c r="F48" s="23">
        <v>0</v>
      </c>
      <c r="G48" s="17">
        <v>0</v>
      </c>
      <c r="H48" s="41">
        <f t="shared" si="11"/>
        <v>0</v>
      </c>
      <c r="I48" s="23">
        <f t="shared" si="13"/>
        <v>71020000</v>
      </c>
      <c r="J48" s="169">
        <f t="shared" si="10"/>
        <v>1</v>
      </c>
      <c r="K48" s="1"/>
      <c r="L48" s="321"/>
    </row>
    <row r="49" spans="1:12" x14ac:dyDescent="0.2">
      <c r="A49" s="6"/>
      <c r="B49" s="98" t="s">
        <v>105</v>
      </c>
      <c r="C49" s="172">
        <v>34662000</v>
      </c>
      <c r="D49" s="99">
        <f t="shared" si="12"/>
        <v>34662000</v>
      </c>
      <c r="E49" s="23">
        <v>0</v>
      </c>
      <c r="F49" s="23">
        <v>0</v>
      </c>
      <c r="G49" s="17">
        <v>0</v>
      </c>
      <c r="H49" s="41">
        <f t="shared" si="11"/>
        <v>0</v>
      </c>
      <c r="I49" s="23">
        <f t="shared" si="13"/>
        <v>34662000</v>
      </c>
      <c r="J49" s="169">
        <f t="shared" si="10"/>
        <v>1</v>
      </c>
      <c r="K49" s="1"/>
      <c r="L49" s="321"/>
    </row>
    <row r="50" spans="1:12" x14ac:dyDescent="0.2">
      <c r="A50" s="6"/>
      <c r="B50" s="98" t="s">
        <v>106</v>
      </c>
      <c r="C50" s="172">
        <v>32000000</v>
      </c>
      <c r="D50" s="99">
        <f t="shared" si="12"/>
        <v>32000000</v>
      </c>
      <c r="E50" s="23">
        <v>0</v>
      </c>
      <c r="F50" s="23">
        <v>1968000</v>
      </c>
      <c r="G50" s="17">
        <v>0</v>
      </c>
      <c r="H50" s="41">
        <f t="shared" si="11"/>
        <v>6.1499999999999999E-2</v>
      </c>
      <c r="I50" s="23">
        <f t="shared" si="13"/>
        <v>30032000</v>
      </c>
      <c r="J50" s="169">
        <f t="shared" si="10"/>
        <v>0.9385</v>
      </c>
      <c r="K50" s="1"/>
      <c r="L50" s="321"/>
    </row>
    <row r="51" spans="1:12" x14ac:dyDescent="0.2">
      <c r="A51" s="6"/>
      <c r="B51" s="98" t="s">
        <v>298</v>
      </c>
      <c r="C51" s="172">
        <v>42400000</v>
      </c>
      <c r="D51" s="99">
        <f t="shared" si="12"/>
        <v>42400000</v>
      </c>
      <c r="E51" s="23">
        <v>0</v>
      </c>
      <c r="F51" s="23">
        <v>0</v>
      </c>
      <c r="G51" s="17">
        <v>0</v>
      </c>
      <c r="H51" s="41">
        <f t="shared" ref="H51" si="14">(G51+F51)/D51</f>
        <v>0</v>
      </c>
      <c r="I51" s="23">
        <f t="shared" si="13"/>
        <v>42400000</v>
      </c>
      <c r="J51" s="169">
        <f t="shared" ref="J51" si="15">I51/D51</f>
        <v>1</v>
      </c>
      <c r="K51" s="1"/>
      <c r="L51" s="321"/>
    </row>
    <row r="52" spans="1:12" x14ac:dyDescent="0.2">
      <c r="A52" s="6"/>
      <c r="B52" s="101" t="s">
        <v>107</v>
      </c>
      <c r="C52" s="352">
        <v>3180000</v>
      </c>
      <c r="D52" s="99">
        <f t="shared" si="12"/>
        <v>3180000</v>
      </c>
      <c r="E52" s="23">
        <v>0</v>
      </c>
      <c r="F52" s="23">
        <v>2400000</v>
      </c>
      <c r="G52" s="17">
        <v>0</v>
      </c>
      <c r="H52" s="41">
        <f t="shared" si="11"/>
        <v>0.75471698113207553</v>
      </c>
      <c r="I52" s="23">
        <f t="shared" si="13"/>
        <v>780000</v>
      </c>
      <c r="J52" s="169">
        <f t="shared" si="10"/>
        <v>0.24528301886792453</v>
      </c>
      <c r="K52" s="1"/>
      <c r="L52" s="321"/>
    </row>
    <row r="53" spans="1:12" x14ac:dyDescent="0.2">
      <c r="A53" s="6"/>
      <c r="B53" s="101" t="s">
        <v>13</v>
      </c>
      <c r="C53" s="353">
        <v>134547252</v>
      </c>
      <c r="D53" s="99">
        <f t="shared" si="12"/>
        <v>134547252</v>
      </c>
      <c r="E53" s="23">
        <v>0</v>
      </c>
      <c r="F53" s="23">
        <v>10141137.66</v>
      </c>
      <c r="G53" s="17">
        <v>6143796.6600000001</v>
      </c>
      <c r="H53" s="41">
        <f t="shared" si="11"/>
        <v>0.12103505703706234</v>
      </c>
      <c r="I53" s="23">
        <f t="shared" si="13"/>
        <v>124406114.34</v>
      </c>
      <c r="J53" s="169">
        <f t="shared" si="10"/>
        <v>0.92462768648742077</v>
      </c>
      <c r="K53" s="1"/>
      <c r="L53" s="321"/>
    </row>
    <row r="54" spans="1:12" x14ac:dyDescent="0.2">
      <c r="A54" s="6"/>
      <c r="B54" s="101" t="s">
        <v>12</v>
      </c>
      <c r="C54" s="353">
        <v>4770000</v>
      </c>
      <c r="D54" s="99">
        <f t="shared" si="12"/>
        <v>4770000</v>
      </c>
      <c r="E54" s="180">
        <v>0</v>
      </c>
      <c r="F54" s="180">
        <v>4560000</v>
      </c>
      <c r="G54" s="177">
        <v>0</v>
      </c>
      <c r="H54" s="41">
        <f t="shared" si="11"/>
        <v>0.95597484276729561</v>
      </c>
      <c r="I54" s="23">
        <f t="shared" si="13"/>
        <v>210000</v>
      </c>
      <c r="J54" s="169">
        <f t="shared" si="10"/>
        <v>4.40251572327044E-2</v>
      </c>
      <c r="K54" s="1"/>
      <c r="L54" s="321"/>
    </row>
    <row r="55" spans="1:12" x14ac:dyDescent="0.2">
      <c r="A55" s="6"/>
      <c r="B55" s="101" t="s">
        <v>108</v>
      </c>
      <c r="C55" s="353">
        <v>426756000</v>
      </c>
      <c r="D55" s="99">
        <f t="shared" si="12"/>
        <v>426756000</v>
      </c>
      <c r="E55" s="23">
        <v>0</v>
      </c>
      <c r="F55" s="23">
        <v>174589044</v>
      </c>
      <c r="G55" s="17">
        <v>0</v>
      </c>
      <c r="H55" s="41">
        <f t="shared" si="11"/>
        <v>0.40910741500998227</v>
      </c>
      <c r="I55" s="23">
        <f t="shared" si="13"/>
        <v>252166956</v>
      </c>
      <c r="J55" s="169">
        <f t="shared" si="10"/>
        <v>0.59089258499001773</v>
      </c>
      <c r="K55" s="1"/>
      <c r="L55" s="321"/>
    </row>
    <row r="56" spans="1:12" x14ac:dyDescent="0.2">
      <c r="A56" s="6"/>
      <c r="B56" s="101" t="s">
        <v>109</v>
      </c>
      <c r="C56" s="353">
        <v>25250790</v>
      </c>
      <c r="D56" s="99">
        <f t="shared" si="12"/>
        <v>25250790</v>
      </c>
      <c r="E56" s="23">
        <v>0</v>
      </c>
      <c r="F56" s="23">
        <v>0</v>
      </c>
      <c r="G56" s="17">
        <v>0</v>
      </c>
      <c r="H56" s="41">
        <f t="shared" si="11"/>
        <v>0</v>
      </c>
      <c r="I56" s="23">
        <f t="shared" si="13"/>
        <v>25250790</v>
      </c>
      <c r="J56" s="169">
        <f t="shared" si="10"/>
        <v>1</v>
      </c>
      <c r="K56" s="1"/>
      <c r="L56" s="321"/>
    </row>
    <row r="57" spans="1:12" x14ac:dyDescent="0.2">
      <c r="A57" s="6"/>
      <c r="B57" s="101" t="s">
        <v>110</v>
      </c>
      <c r="C57" s="352">
        <v>79500000</v>
      </c>
      <c r="D57" s="99">
        <f t="shared" si="12"/>
        <v>79500000</v>
      </c>
      <c r="E57" s="23">
        <v>0</v>
      </c>
      <c r="F57" s="23">
        <v>0</v>
      </c>
      <c r="G57" s="17">
        <v>0</v>
      </c>
      <c r="H57" s="41">
        <f t="shared" si="11"/>
        <v>0</v>
      </c>
      <c r="I57" s="23">
        <f t="shared" si="13"/>
        <v>79500000</v>
      </c>
      <c r="J57" s="169">
        <f t="shared" si="10"/>
        <v>1</v>
      </c>
      <c r="K57" s="1"/>
      <c r="L57" s="321"/>
    </row>
    <row r="58" spans="1:12" x14ac:dyDescent="0.2">
      <c r="A58" s="6"/>
      <c r="B58" s="101" t="s">
        <v>111</v>
      </c>
      <c r="C58" s="353">
        <v>3180000</v>
      </c>
      <c r="D58" s="99">
        <f t="shared" si="12"/>
        <v>3180000</v>
      </c>
      <c r="E58" s="23">
        <v>0</v>
      </c>
      <c r="F58" s="23">
        <v>0</v>
      </c>
      <c r="G58" s="17">
        <v>0</v>
      </c>
      <c r="H58" s="41">
        <f t="shared" si="11"/>
        <v>0</v>
      </c>
      <c r="I58" s="23">
        <f t="shared" si="13"/>
        <v>3180000</v>
      </c>
      <c r="J58" s="169">
        <f t="shared" si="10"/>
        <v>1</v>
      </c>
      <c r="K58" s="1"/>
      <c r="L58" s="321"/>
    </row>
    <row r="59" spans="1:12" x14ac:dyDescent="0.2">
      <c r="A59" s="6"/>
      <c r="B59" s="101" t="s">
        <v>112</v>
      </c>
      <c r="C59" s="353">
        <v>120000000</v>
      </c>
      <c r="D59" s="99">
        <f t="shared" si="12"/>
        <v>120000000</v>
      </c>
      <c r="E59" s="23">
        <v>0</v>
      </c>
      <c r="F59" s="23">
        <v>0</v>
      </c>
      <c r="G59" s="17">
        <v>0</v>
      </c>
      <c r="H59" s="41">
        <f t="shared" si="11"/>
        <v>0</v>
      </c>
      <c r="I59" s="23">
        <f t="shared" si="13"/>
        <v>120000000</v>
      </c>
      <c r="J59" s="169">
        <f t="shared" si="10"/>
        <v>1</v>
      </c>
      <c r="K59" s="1"/>
      <c r="L59" s="321"/>
    </row>
    <row r="60" spans="1:12" ht="18.75" x14ac:dyDescent="0.2">
      <c r="A60" s="6"/>
      <c r="B60" s="325" t="s">
        <v>113</v>
      </c>
      <c r="C60" s="353">
        <v>42400000</v>
      </c>
      <c r="D60" s="99">
        <f t="shared" si="12"/>
        <v>42400000</v>
      </c>
      <c r="E60" s="23">
        <v>0</v>
      </c>
      <c r="F60" s="23">
        <v>6480000</v>
      </c>
      <c r="G60" s="17">
        <f>SUM(G55:G59)</f>
        <v>0</v>
      </c>
      <c r="H60" s="41">
        <f t="shared" si="11"/>
        <v>0.15283018867924528</v>
      </c>
      <c r="I60" s="23">
        <f t="shared" si="13"/>
        <v>35920000</v>
      </c>
      <c r="J60" s="169">
        <f t="shared" si="10"/>
        <v>0.84716981132075475</v>
      </c>
      <c r="K60" s="1"/>
      <c r="L60" s="321"/>
    </row>
    <row r="61" spans="1:12" ht="18.75" x14ac:dyDescent="0.2">
      <c r="A61" s="6"/>
      <c r="B61" s="325" t="s">
        <v>114</v>
      </c>
      <c r="C61" s="353">
        <v>139641800</v>
      </c>
      <c r="D61" s="99">
        <f t="shared" si="12"/>
        <v>139641800</v>
      </c>
      <c r="E61" s="180">
        <v>0</v>
      </c>
      <c r="F61" s="180">
        <v>0</v>
      </c>
      <c r="G61" s="177">
        <v>0</v>
      </c>
      <c r="H61" s="41">
        <f t="shared" si="11"/>
        <v>0</v>
      </c>
      <c r="I61" s="23">
        <f t="shared" si="13"/>
        <v>139641800</v>
      </c>
      <c r="J61" s="169">
        <f t="shared" si="10"/>
        <v>1</v>
      </c>
      <c r="K61" s="1"/>
      <c r="L61" s="321"/>
    </row>
    <row r="62" spans="1:12" x14ac:dyDescent="0.2">
      <c r="A62" s="6"/>
      <c r="B62" s="101" t="s">
        <v>115</v>
      </c>
      <c r="C62" s="353">
        <v>37100000</v>
      </c>
      <c r="D62" s="99">
        <f t="shared" si="12"/>
        <v>37100000</v>
      </c>
      <c r="E62" s="23">
        <v>0</v>
      </c>
      <c r="F62" s="23">
        <v>11640000</v>
      </c>
      <c r="G62" s="17">
        <v>0</v>
      </c>
      <c r="H62" s="41">
        <f t="shared" si="11"/>
        <v>0.31374663072776282</v>
      </c>
      <c r="I62" s="23">
        <f t="shared" si="13"/>
        <v>25460000</v>
      </c>
      <c r="J62" s="169">
        <f t="shared" si="10"/>
        <v>0.68625336927223723</v>
      </c>
      <c r="K62" s="1"/>
      <c r="L62" s="321"/>
    </row>
    <row r="63" spans="1:12" ht="18.75" x14ac:dyDescent="0.2">
      <c r="A63" s="6"/>
      <c r="B63" s="325" t="s">
        <v>116</v>
      </c>
      <c r="C63" s="353">
        <v>60000000</v>
      </c>
      <c r="D63" s="99">
        <f t="shared" si="12"/>
        <v>60000000</v>
      </c>
      <c r="E63" s="23">
        <v>0</v>
      </c>
      <c r="F63" s="23">
        <v>10440000</v>
      </c>
      <c r="G63" s="17">
        <v>0</v>
      </c>
      <c r="H63" s="41">
        <f t="shared" si="11"/>
        <v>0.17399999999999999</v>
      </c>
      <c r="I63" s="23">
        <f t="shared" si="13"/>
        <v>49560000</v>
      </c>
      <c r="J63" s="169">
        <f t="shared" si="10"/>
        <v>0.82599999999999996</v>
      </c>
      <c r="K63" s="1"/>
      <c r="L63" s="321"/>
    </row>
    <row r="64" spans="1:12" ht="18.75" x14ac:dyDescent="0.2">
      <c r="A64" s="6"/>
      <c r="B64" s="325" t="s">
        <v>117</v>
      </c>
      <c r="C64" s="353">
        <v>9010000</v>
      </c>
      <c r="D64" s="99">
        <f t="shared" si="12"/>
        <v>9010000</v>
      </c>
      <c r="E64" s="23">
        <v>0</v>
      </c>
      <c r="F64" s="23">
        <v>6480000</v>
      </c>
      <c r="G64" s="17">
        <v>0</v>
      </c>
      <c r="H64" s="41">
        <f t="shared" si="11"/>
        <v>0.71920088790233072</v>
      </c>
      <c r="I64" s="23">
        <f t="shared" si="13"/>
        <v>2530000</v>
      </c>
      <c r="J64" s="169">
        <f t="shared" si="10"/>
        <v>0.28079911209766928</v>
      </c>
      <c r="K64" s="1"/>
      <c r="L64" s="321"/>
    </row>
    <row r="65" spans="1:12" x14ac:dyDescent="0.2">
      <c r="A65" s="6"/>
      <c r="B65" s="101" t="s">
        <v>118</v>
      </c>
      <c r="C65" s="353">
        <v>168431350</v>
      </c>
      <c r="D65" s="99">
        <f t="shared" si="12"/>
        <v>168431350</v>
      </c>
      <c r="E65" s="23">
        <v>0</v>
      </c>
      <c r="F65" s="23">
        <v>0</v>
      </c>
      <c r="G65" s="17">
        <v>0</v>
      </c>
      <c r="H65" s="41">
        <f t="shared" si="11"/>
        <v>0</v>
      </c>
      <c r="I65" s="23">
        <f t="shared" si="13"/>
        <v>168431350</v>
      </c>
      <c r="J65" s="169">
        <f t="shared" si="10"/>
        <v>1</v>
      </c>
      <c r="K65" s="1"/>
      <c r="L65" s="321"/>
    </row>
    <row r="66" spans="1:12" ht="13.5" thickBot="1" x14ac:dyDescent="0.25">
      <c r="A66" s="6"/>
      <c r="B66" s="122" t="s">
        <v>119</v>
      </c>
      <c r="C66" s="155">
        <v>14840000</v>
      </c>
      <c r="D66" s="153">
        <f t="shared" si="12"/>
        <v>14840000</v>
      </c>
      <c r="E66" s="21">
        <v>0</v>
      </c>
      <c r="F66" s="21">
        <v>0</v>
      </c>
      <c r="G66" s="42">
        <v>0</v>
      </c>
      <c r="H66" s="46">
        <f t="shared" si="11"/>
        <v>0</v>
      </c>
      <c r="I66" s="23">
        <f t="shared" si="13"/>
        <v>14840000</v>
      </c>
      <c r="J66" s="182">
        <f t="shared" si="10"/>
        <v>1</v>
      </c>
      <c r="K66" s="1"/>
      <c r="L66" s="321"/>
    </row>
    <row r="67" spans="1:12" ht="13.5" thickBot="1" x14ac:dyDescent="0.25">
      <c r="A67" s="6"/>
      <c r="B67" s="117" t="s">
        <v>15</v>
      </c>
      <c r="C67" s="118">
        <f>SUM(C39:C66)</f>
        <v>1817251132</v>
      </c>
      <c r="D67" s="118">
        <f>SUM(D39:D66)</f>
        <v>1817251132</v>
      </c>
      <c r="E67" s="175">
        <f>SUM(E39:E66)</f>
        <v>0</v>
      </c>
      <c r="F67" s="118">
        <f>SUM(F39:F66)</f>
        <v>253351237.66</v>
      </c>
      <c r="G67" s="118">
        <f>SUM(G39:G66)</f>
        <v>6436852.6600000001</v>
      </c>
      <c r="H67" s="184">
        <f t="shared" si="11"/>
        <v>0.14295662594199995</v>
      </c>
      <c r="I67" s="131">
        <f>SUM(I39:I66)</f>
        <v>1563899894.3400002</v>
      </c>
      <c r="J67" s="183">
        <f t="shared" si="10"/>
        <v>0.86058545613276316</v>
      </c>
      <c r="K67" s="1"/>
      <c r="L67" s="321"/>
    </row>
    <row r="68" spans="1:12" ht="13.5" thickBot="1" x14ac:dyDescent="0.25">
      <c r="A68" s="6"/>
      <c r="B68" s="114" t="s">
        <v>121</v>
      </c>
      <c r="C68" s="124"/>
      <c r="D68" s="141"/>
      <c r="E68" s="161"/>
      <c r="F68" s="161"/>
      <c r="G68" s="161"/>
      <c r="H68" s="162"/>
      <c r="I68" s="161"/>
      <c r="J68" s="163"/>
      <c r="K68" s="1"/>
      <c r="L68" s="321"/>
    </row>
    <row r="69" spans="1:12" x14ac:dyDescent="0.2">
      <c r="A69" s="6"/>
      <c r="B69" s="93" t="s">
        <v>16</v>
      </c>
      <c r="C69" s="94">
        <v>191637788</v>
      </c>
      <c r="D69" s="125">
        <f>C69</f>
        <v>191637788</v>
      </c>
      <c r="E69" s="29">
        <v>0</v>
      </c>
      <c r="F69" s="32">
        <v>18648412</v>
      </c>
      <c r="G69" s="178">
        <v>0</v>
      </c>
      <c r="H69" s="40">
        <f>(G69+F69)/D69</f>
        <v>9.7310724542489499E-2</v>
      </c>
      <c r="I69" s="22">
        <f>D69-E69-F69</f>
        <v>172989376</v>
      </c>
      <c r="J69" s="39">
        <f>I69/D69</f>
        <v>0.90268927545751054</v>
      </c>
      <c r="K69" s="1"/>
      <c r="L69" s="321"/>
    </row>
    <row r="70" spans="1:12" ht="13.5" thickBot="1" x14ac:dyDescent="0.25">
      <c r="A70" s="6"/>
      <c r="B70" s="126" t="s">
        <v>120</v>
      </c>
      <c r="C70" s="138">
        <v>2523330</v>
      </c>
      <c r="D70" s="127">
        <f>C70</f>
        <v>2523330</v>
      </c>
      <c r="E70" s="30">
        <v>0</v>
      </c>
      <c r="F70" s="57">
        <v>0</v>
      </c>
      <c r="G70" s="179">
        <v>0</v>
      </c>
      <c r="H70" s="46">
        <f t="shared" ref="H70:H71" si="16">(G70+F70)/D70</f>
        <v>0</v>
      </c>
      <c r="I70" s="23">
        <f>D70-E70-F70</f>
        <v>2523330</v>
      </c>
      <c r="J70" s="170">
        <f>I70/D70</f>
        <v>1</v>
      </c>
      <c r="K70" s="1"/>
      <c r="L70" s="321"/>
    </row>
    <row r="71" spans="1:12" ht="13.5" thickBot="1" x14ac:dyDescent="0.25">
      <c r="A71" s="6"/>
      <c r="B71" s="128" t="s">
        <v>8</v>
      </c>
      <c r="C71" s="118">
        <f t="shared" ref="C71" si="17">SUM(C69:C70)</f>
        <v>194161118</v>
      </c>
      <c r="D71" s="118">
        <f>SUM(D69:D70)</f>
        <v>194161118</v>
      </c>
      <c r="E71" s="175">
        <f t="shared" ref="E71:I71" si="18">SUM(E69:E70)</f>
        <v>0</v>
      </c>
      <c r="F71" s="102">
        <f t="shared" si="18"/>
        <v>18648412</v>
      </c>
      <c r="G71" s="175">
        <f t="shared" si="18"/>
        <v>0</v>
      </c>
      <c r="H71" s="184">
        <f t="shared" si="16"/>
        <v>9.6046068296743115E-2</v>
      </c>
      <c r="I71" s="131">
        <f t="shared" si="18"/>
        <v>175512706</v>
      </c>
      <c r="J71" s="186">
        <f>I71/D71</f>
        <v>0.90395393170325689</v>
      </c>
      <c r="K71" s="1"/>
      <c r="L71" s="321"/>
    </row>
    <row r="72" spans="1:12" ht="13.5" thickBot="1" x14ac:dyDescent="0.25">
      <c r="A72" s="6"/>
      <c r="B72" s="114" t="s">
        <v>122</v>
      </c>
      <c r="C72" s="120"/>
      <c r="D72" s="86"/>
      <c r="E72" s="164"/>
      <c r="F72" s="164"/>
      <c r="G72" s="164"/>
      <c r="H72" s="162"/>
      <c r="I72" s="142"/>
      <c r="J72" s="163"/>
      <c r="K72" s="1"/>
      <c r="L72" s="321"/>
    </row>
    <row r="73" spans="1:12" x14ac:dyDescent="0.2">
      <c r="A73" s="6"/>
      <c r="B73" s="93" t="s">
        <v>17</v>
      </c>
      <c r="C73" s="94">
        <v>1968734663</v>
      </c>
      <c r="D73" s="125">
        <f>C73</f>
        <v>1968734663</v>
      </c>
      <c r="E73" s="45">
        <v>0</v>
      </c>
      <c r="F73" s="22">
        <v>100000000</v>
      </c>
      <c r="G73" s="178">
        <v>49617640</v>
      </c>
      <c r="H73" s="40">
        <f>(G73+F73)/D73</f>
        <v>7.5996853619679477E-2</v>
      </c>
      <c r="I73" s="22">
        <f>D73-E73-F73</f>
        <v>1868734663</v>
      </c>
      <c r="J73" s="39">
        <f>I73/D73</f>
        <v>0.94920595350943948</v>
      </c>
      <c r="K73" s="1"/>
      <c r="L73" s="321"/>
    </row>
    <row r="74" spans="1:12" ht="13.5" thickBot="1" x14ac:dyDescent="0.25">
      <c r="A74" s="6"/>
      <c r="B74" s="122" t="s">
        <v>48</v>
      </c>
      <c r="C74" s="155">
        <v>40000000</v>
      </c>
      <c r="D74" s="218">
        <f>C74</f>
        <v>40000000</v>
      </c>
      <c r="E74" s="21">
        <v>0</v>
      </c>
      <c r="F74" s="21">
        <v>2000000</v>
      </c>
      <c r="G74" s="42">
        <v>0</v>
      </c>
      <c r="H74" s="46">
        <f t="shared" ref="H74:H75" si="19">(G74+F74)/D74</f>
        <v>0.05</v>
      </c>
      <c r="I74" s="23">
        <f>D74-E74-F74</f>
        <v>38000000</v>
      </c>
      <c r="J74" s="170">
        <f>I74/D74</f>
        <v>0.95</v>
      </c>
      <c r="K74" s="1"/>
      <c r="L74" s="321"/>
    </row>
    <row r="75" spans="1:12" ht="13.5" thickBot="1" x14ac:dyDescent="0.25">
      <c r="A75" s="6"/>
      <c r="B75" s="114" t="s">
        <v>15</v>
      </c>
      <c r="C75" s="86">
        <f>SUM(C73:C74)</f>
        <v>2008734663</v>
      </c>
      <c r="D75" s="86">
        <f>SUM(D73:D74)</f>
        <v>2008734663</v>
      </c>
      <c r="E75" s="175">
        <f t="shared" ref="E75:G75" si="20">SUM(E73:E74)</f>
        <v>0</v>
      </c>
      <c r="F75" s="102">
        <f t="shared" si="20"/>
        <v>102000000</v>
      </c>
      <c r="G75" s="324">
        <f t="shared" si="20"/>
        <v>49617640</v>
      </c>
      <c r="H75" s="184">
        <f t="shared" si="19"/>
        <v>7.5479177410899295E-2</v>
      </c>
      <c r="I75" s="131">
        <f t="shared" ref="I75" si="21">SUM(I73:I74)</f>
        <v>1906734663</v>
      </c>
      <c r="J75" s="186">
        <f>I75/D75</f>
        <v>0.94922176538355474</v>
      </c>
      <c r="K75" s="1"/>
      <c r="L75" s="321"/>
    </row>
    <row r="76" spans="1:12" ht="13.5" thickBot="1" x14ac:dyDescent="0.25">
      <c r="A76" s="6"/>
      <c r="B76" s="128" t="s">
        <v>123</v>
      </c>
      <c r="C76" s="131"/>
      <c r="D76" s="118"/>
      <c r="E76" s="160"/>
      <c r="F76" s="160"/>
      <c r="G76" s="160"/>
      <c r="H76" s="56"/>
      <c r="I76" s="56"/>
      <c r="J76" s="56"/>
      <c r="K76" s="1"/>
      <c r="L76" s="321"/>
    </row>
    <row r="77" spans="1:12" x14ac:dyDescent="0.2">
      <c r="A77" s="6"/>
      <c r="B77" s="115" t="s">
        <v>124</v>
      </c>
      <c r="C77" s="95">
        <v>265000000</v>
      </c>
      <c r="D77" s="216">
        <f>C77</f>
        <v>265000000</v>
      </c>
      <c r="E77" s="45">
        <v>0</v>
      </c>
      <c r="F77" s="45">
        <v>0</v>
      </c>
      <c r="G77" s="178">
        <v>0</v>
      </c>
      <c r="H77" s="40">
        <f>(G77+F77)/D77</f>
        <v>0</v>
      </c>
      <c r="I77" s="22">
        <f>D77-E77-F77</f>
        <v>265000000</v>
      </c>
      <c r="J77" s="39">
        <f>I77/D77</f>
        <v>1</v>
      </c>
      <c r="K77" s="1"/>
      <c r="L77" s="321"/>
    </row>
    <row r="78" spans="1:12" ht="13.5" thickBot="1" x14ac:dyDescent="0.25">
      <c r="A78" s="6"/>
      <c r="B78" s="116" t="s">
        <v>125</v>
      </c>
      <c r="C78" s="171">
        <v>15900000</v>
      </c>
      <c r="D78" s="347">
        <f>C78</f>
        <v>15900000</v>
      </c>
      <c r="E78" s="31">
        <v>0</v>
      </c>
      <c r="F78" s="31">
        <v>0</v>
      </c>
      <c r="G78" s="179">
        <v>0</v>
      </c>
      <c r="H78" s="46">
        <f t="shared" ref="H78:H79" si="22">(G78+F78)/D78</f>
        <v>0</v>
      </c>
      <c r="I78" s="23">
        <f>D78-E78-F78</f>
        <v>15900000</v>
      </c>
      <c r="J78" s="170">
        <f>I78/D78</f>
        <v>1</v>
      </c>
      <c r="K78" s="1"/>
      <c r="L78" s="321"/>
    </row>
    <row r="79" spans="1:12" ht="13.5" thickBot="1" x14ac:dyDescent="0.25">
      <c r="A79" s="6"/>
      <c r="B79" s="128" t="s">
        <v>8</v>
      </c>
      <c r="C79" s="130">
        <f t="shared" ref="C79" si="23">SUM(C77:C78)</f>
        <v>280900000</v>
      </c>
      <c r="D79" s="130">
        <f>SUM(D77:D78)</f>
        <v>280900000</v>
      </c>
      <c r="E79" s="174">
        <f t="shared" ref="E79:G79" si="24">SUM(E77:E78)</f>
        <v>0</v>
      </c>
      <c r="F79" s="174">
        <f t="shared" si="24"/>
        <v>0</v>
      </c>
      <c r="G79" s="166">
        <f t="shared" si="24"/>
        <v>0</v>
      </c>
      <c r="H79" s="184">
        <f t="shared" si="22"/>
        <v>0</v>
      </c>
      <c r="I79" s="131">
        <f t="shared" ref="I79" si="25">SUM(I77:I78)</f>
        <v>280900000</v>
      </c>
      <c r="J79" s="186">
        <f>I79/D79</f>
        <v>1</v>
      </c>
      <c r="K79" s="1"/>
      <c r="L79" s="321"/>
    </row>
    <row r="80" spans="1:12" ht="13.5" thickBot="1" x14ac:dyDescent="0.25">
      <c r="A80" s="6"/>
      <c r="B80" s="132" t="s">
        <v>18</v>
      </c>
      <c r="C80" s="130">
        <f t="shared" ref="C80:J80" si="26">C37+C67+C71+C75+C79</f>
        <v>7555228867</v>
      </c>
      <c r="D80" s="130">
        <f t="shared" si="26"/>
        <v>7555228867</v>
      </c>
      <c r="E80" s="133">
        <f t="shared" si="26"/>
        <v>0</v>
      </c>
      <c r="F80" s="130">
        <f t="shared" si="26"/>
        <v>1013802775.66</v>
      </c>
      <c r="G80" s="130">
        <f t="shared" si="26"/>
        <v>197950280.66</v>
      </c>
      <c r="H80" s="130">
        <f t="shared" si="26"/>
        <v>0.55469551828951302</v>
      </c>
      <c r="I80" s="130">
        <f t="shared" si="26"/>
        <v>6541426091.3400002</v>
      </c>
      <c r="J80" s="130">
        <f t="shared" si="26"/>
        <v>4.5171516411996455</v>
      </c>
      <c r="K80" s="1"/>
      <c r="L80" s="321"/>
    </row>
    <row r="81" spans="1:13" ht="13.5" thickBot="1" x14ac:dyDescent="0.25">
      <c r="A81" s="7"/>
      <c r="B81" s="168"/>
      <c r="C81" s="192"/>
      <c r="D81" s="192"/>
      <c r="E81" s="192"/>
      <c r="F81" s="2"/>
      <c r="G81" s="2"/>
      <c r="H81" s="8"/>
      <c r="I81" s="8"/>
      <c r="J81" s="8"/>
      <c r="K81" s="3"/>
      <c r="L81" s="321"/>
    </row>
    <row r="82" spans="1:13" x14ac:dyDescent="0.2">
      <c r="B82" s="24"/>
      <c r="C82" s="323"/>
      <c r="D82" s="323"/>
      <c r="E82" s="321"/>
      <c r="F82" s="321"/>
      <c r="G82" s="321"/>
      <c r="H82" s="321"/>
      <c r="I82" s="321"/>
      <c r="J82" s="321"/>
      <c r="K82" s="26"/>
      <c r="L82" s="321" t="s">
        <v>338</v>
      </c>
    </row>
    <row r="83" spans="1:13" x14ac:dyDescent="0.2">
      <c r="B83" s="24"/>
      <c r="C83" s="323"/>
      <c r="D83" s="323"/>
      <c r="F83" s="321"/>
      <c r="K83" s="26"/>
      <c r="L83" s="420" t="s">
        <v>345</v>
      </c>
    </row>
    <row r="84" spans="1:13" x14ac:dyDescent="0.2">
      <c r="B84" s="4" t="s">
        <v>332</v>
      </c>
      <c r="C84" s="323"/>
      <c r="D84" s="323"/>
      <c r="F84" s="405"/>
      <c r="K84" s="26"/>
      <c r="L84" s="321">
        <f>F80-1037802775.66</f>
        <v>-24000000</v>
      </c>
      <c r="M84" t="s">
        <v>337</v>
      </c>
    </row>
    <row r="85" spans="1:13" x14ac:dyDescent="0.2">
      <c r="B85" s="189"/>
      <c r="C85" s="323"/>
      <c r="D85" s="406"/>
      <c r="K85" s="26"/>
    </row>
    <row r="86" spans="1:13" x14ac:dyDescent="0.2">
      <c r="B86" s="189"/>
      <c r="C86" s="323"/>
      <c r="D86" s="323"/>
      <c r="K86" s="26"/>
    </row>
    <row r="87" spans="1:13" x14ac:dyDescent="0.2">
      <c r="B87" s="15"/>
      <c r="K87" s="26"/>
    </row>
    <row r="88" spans="1:13" ht="15.75" thickBot="1" x14ac:dyDescent="0.25">
      <c r="B88" s="52"/>
      <c r="D88" s="14"/>
      <c r="E88" s="320"/>
      <c r="F88" s="14"/>
      <c r="K88" s="26"/>
    </row>
    <row r="89" spans="1:13" x14ac:dyDescent="0.2">
      <c r="B89" s="4" t="s">
        <v>318</v>
      </c>
      <c r="C89" s="343"/>
      <c r="D89" s="358" t="s">
        <v>305</v>
      </c>
      <c r="E89" s="319"/>
      <c r="K89" s="26"/>
    </row>
    <row r="90" spans="1:13" x14ac:dyDescent="0.2">
      <c r="B90" s="104" t="s">
        <v>319</v>
      </c>
      <c r="C90" s="343"/>
      <c r="D90" s="357" t="s">
        <v>307</v>
      </c>
      <c r="E90" s="135"/>
      <c r="K90" s="26"/>
    </row>
    <row r="91" spans="1:13" x14ac:dyDescent="0.2">
      <c r="B91" s="15"/>
      <c r="I91" s="407">
        <f>E80+F80+G80</f>
        <v>1211753056.3199999</v>
      </c>
      <c r="K91" s="26"/>
    </row>
    <row r="92" spans="1:13" ht="13.5" thickBot="1" x14ac:dyDescent="0.25">
      <c r="B92" s="191" t="s">
        <v>301</v>
      </c>
      <c r="C92" s="72"/>
      <c r="D92" s="14"/>
      <c r="E92" s="14"/>
      <c r="F92" s="14"/>
      <c r="G92" s="14"/>
      <c r="H92" s="14"/>
      <c r="I92" s="14"/>
      <c r="J92" s="14"/>
      <c r="K92" s="18"/>
    </row>
  </sheetData>
  <mergeCells count="2">
    <mergeCell ref="B3:J3"/>
    <mergeCell ref="B4:J4"/>
  </mergeCells>
  <pageMargins left="0.68" right="0.27559055118110237" top="1.4960629921259843" bottom="0.98425196850393704" header="0.55118110236220474" footer="0"/>
  <pageSetup paperSize="5" scale="60" orientation="portrait" horizontalDpi="120" verticalDpi="144" r:id="rId1"/>
  <headerFooter alignWithMargins="0"/>
  <ignoredErrors>
    <ignoredError sqref="G6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972F-1478-4E3A-B281-A115D4C0A391}">
  <sheetPr>
    <tabColor theme="0"/>
  </sheetPr>
  <dimension ref="A1:N92"/>
  <sheetViews>
    <sheetView workbookViewId="0">
      <selection activeCell="F20" sqref="F20"/>
    </sheetView>
  </sheetViews>
  <sheetFormatPr baseColWidth="10" defaultColWidth="8.85546875" defaultRowHeight="12.75" x14ac:dyDescent="0.2"/>
  <cols>
    <col min="1" max="1" width="0.140625" customWidth="1"/>
    <col min="2" max="2" width="34.140625" customWidth="1"/>
    <col min="3" max="3" width="18.5703125" customWidth="1"/>
    <col min="4" max="4" width="18.85546875" customWidth="1"/>
    <col min="5" max="5" width="16.28515625" customWidth="1"/>
    <col min="6" max="6" width="17.7109375" customWidth="1"/>
    <col min="7" max="7" width="16.5703125" customWidth="1"/>
    <col min="8" max="8" width="9" customWidth="1"/>
    <col min="9" max="9" width="17.85546875" customWidth="1"/>
    <col min="10" max="10" width="8.42578125" customWidth="1"/>
    <col min="11" max="11" width="1.140625" customWidth="1"/>
    <col min="12" max="12" width="16.5703125" bestFit="1" customWidth="1"/>
    <col min="13" max="256" width="11.42578125" customWidth="1"/>
  </cols>
  <sheetData>
    <row r="1" spans="1:11" x14ac:dyDescent="0.2">
      <c r="A1" s="9"/>
      <c r="B1" s="9"/>
      <c r="C1" s="10"/>
      <c r="D1" s="10"/>
      <c r="E1" s="10"/>
      <c r="F1" s="10"/>
      <c r="G1" s="10"/>
      <c r="H1" s="11"/>
      <c r="I1" s="11"/>
      <c r="J1" s="11"/>
      <c r="K1" s="12"/>
    </row>
    <row r="2" spans="1:11" ht="13.5" thickBot="1" x14ac:dyDescent="0.25">
      <c r="A2" s="6"/>
      <c r="B2" s="6"/>
      <c r="C2" s="160"/>
      <c r="D2" s="160"/>
      <c r="E2" s="160"/>
      <c r="F2" s="160"/>
      <c r="G2" s="160"/>
      <c r="H2" s="56"/>
      <c r="I2" s="56"/>
      <c r="J2" s="56"/>
      <c r="K2" s="1"/>
    </row>
    <row r="3" spans="1:11" x14ac:dyDescent="0.2">
      <c r="A3" s="4"/>
      <c r="B3" s="469" t="s">
        <v>297</v>
      </c>
      <c r="C3" s="470"/>
      <c r="D3" s="470"/>
      <c r="E3" s="470"/>
      <c r="F3" s="470"/>
      <c r="G3" s="470"/>
      <c r="H3" s="470"/>
      <c r="I3" s="470"/>
      <c r="J3" s="471"/>
      <c r="K3" s="5"/>
    </row>
    <row r="4" spans="1:11" ht="13.5" thickBot="1" x14ac:dyDescent="0.25">
      <c r="A4" s="4"/>
      <c r="B4" s="472" t="s">
        <v>335</v>
      </c>
      <c r="C4" s="473"/>
      <c r="D4" s="473"/>
      <c r="E4" s="473"/>
      <c r="F4" s="473"/>
      <c r="G4" s="473"/>
      <c r="H4" s="473"/>
      <c r="I4" s="473"/>
      <c r="J4" s="474"/>
      <c r="K4" s="5"/>
    </row>
    <row r="5" spans="1:11" x14ac:dyDescent="0.2">
      <c r="A5" s="6"/>
      <c r="B5" s="6"/>
      <c r="C5" s="160" t="s">
        <v>29</v>
      </c>
      <c r="D5" s="160"/>
      <c r="E5" s="160"/>
      <c r="F5" s="160"/>
      <c r="G5" s="160"/>
      <c r="H5" s="56"/>
      <c r="I5" s="56"/>
      <c r="J5" s="1"/>
      <c r="K5" s="1"/>
    </row>
    <row r="6" spans="1:11" ht="13.5" thickBot="1" x14ac:dyDescent="0.25">
      <c r="A6" s="4"/>
      <c r="B6" s="38"/>
      <c r="C6" s="33"/>
      <c r="D6" s="33"/>
      <c r="E6" s="35"/>
      <c r="F6" s="33"/>
      <c r="G6" s="33"/>
      <c r="H6" s="34" t="s">
        <v>30</v>
      </c>
      <c r="I6" s="35"/>
      <c r="J6" s="36" t="s">
        <v>30</v>
      </c>
      <c r="K6" s="5"/>
    </row>
    <row r="7" spans="1:11" ht="13.5" thickBot="1" x14ac:dyDescent="0.25">
      <c r="A7" s="4"/>
      <c r="B7" s="78" t="s">
        <v>1</v>
      </c>
      <c r="C7" s="79" t="s">
        <v>2</v>
      </c>
      <c r="D7" s="79" t="s">
        <v>31</v>
      </c>
      <c r="E7" s="37" t="s">
        <v>127</v>
      </c>
      <c r="F7" s="19" t="s">
        <v>32</v>
      </c>
      <c r="G7" s="19" t="s">
        <v>49</v>
      </c>
      <c r="H7" s="19" t="s">
        <v>33</v>
      </c>
      <c r="I7" s="19" t="s">
        <v>34</v>
      </c>
      <c r="J7" s="19" t="s">
        <v>35</v>
      </c>
      <c r="K7" s="5"/>
    </row>
    <row r="8" spans="1:11" x14ac:dyDescent="0.2">
      <c r="A8" s="6"/>
      <c r="B8" s="82"/>
      <c r="C8" s="83"/>
      <c r="D8" s="84"/>
      <c r="E8" s="11"/>
      <c r="F8" s="10"/>
      <c r="G8" s="10"/>
      <c r="H8" s="11"/>
      <c r="I8" s="11"/>
      <c r="J8" s="12"/>
      <c r="K8" s="1"/>
    </row>
    <row r="9" spans="1:11" x14ac:dyDescent="0.2">
      <c r="A9" s="4"/>
      <c r="B9" s="85" t="s">
        <v>36</v>
      </c>
      <c r="C9" s="86"/>
      <c r="D9" s="154"/>
      <c r="E9" s="167"/>
      <c r="F9" s="142"/>
      <c r="G9" s="142"/>
      <c r="H9" s="167"/>
      <c r="J9" s="5"/>
      <c r="K9" s="5"/>
    </row>
    <row r="10" spans="1:11" ht="13.5" thickBot="1" x14ac:dyDescent="0.25">
      <c r="A10" s="6"/>
      <c r="B10" s="88" t="s">
        <v>37</v>
      </c>
      <c r="C10" s="89" t="s">
        <v>38</v>
      </c>
      <c r="D10" s="90" t="s">
        <v>38</v>
      </c>
      <c r="E10" s="56"/>
      <c r="F10" s="160"/>
      <c r="G10" s="160" t="s">
        <v>39</v>
      </c>
      <c r="H10" s="56"/>
      <c r="I10" s="56" t="s">
        <v>40</v>
      </c>
      <c r="J10" s="1"/>
      <c r="K10" s="1"/>
    </row>
    <row r="11" spans="1:11" x14ac:dyDescent="0.2">
      <c r="A11" s="6"/>
      <c r="B11" s="409" t="s">
        <v>84</v>
      </c>
      <c r="C11" s="94"/>
      <c r="D11" s="94"/>
      <c r="E11" s="22"/>
      <c r="F11" s="22"/>
      <c r="G11" s="22"/>
      <c r="H11" s="43"/>
      <c r="I11" s="22"/>
      <c r="J11" s="39"/>
      <c r="K11" s="1"/>
    </row>
    <row r="12" spans="1:11" x14ac:dyDescent="0.2">
      <c r="A12" s="6"/>
      <c r="B12" s="410" t="s">
        <v>56</v>
      </c>
      <c r="C12" s="351">
        <v>3745228867</v>
      </c>
      <c r="D12" s="351">
        <f>C12</f>
        <v>3745228867</v>
      </c>
      <c r="E12" s="408"/>
      <c r="F12" s="408"/>
      <c r="G12" s="180">
        <f>199736115+291264437</f>
        <v>491000552</v>
      </c>
      <c r="H12" s="44">
        <f t="shared" ref="H12:H14" si="0">G12/D12</f>
        <v>0.13110027969887481</v>
      </c>
      <c r="I12" s="23">
        <f t="shared" ref="I12:I14" si="1">D12-G12</f>
        <v>3254228315</v>
      </c>
      <c r="J12" s="169">
        <f t="shared" ref="J12:J14" si="2">I12/D12</f>
        <v>0.86889972030112517</v>
      </c>
      <c r="K12" s="1"/>
    </row>
    <row r="13" spans="1:11" x14ac:dyDescent="0.2">
      <c r="A13" s="6"/>
      <c r="B13" s="410" t="s">
        <v>321</v>
      </c>
      <c r="C13" s="351">
        <v>10000000</v>
      </c>
      <c r="D13" s="351">
        <f t="shared" ref="D13:D15" si="3">C13</f>
        <v>10000000</v>
      </c>
      <c r="E13" s="408"/>
      <c r="F13" s="408"/>
      <c r="G13" s="180">
        <f>3822652+3514564</f>
        <v>7337216</v>
      </c>
      <c r="H13" s="44">
        <f t="shared" si="0"/>
        <v>0.73372159999999997</v>
      </c>
      <c r="I13" s="23">
        <f t="shared" si="1"/>
        <v>2662784</v>
      </c>
      <c r="J13" s="169">
        <f t="shared" si="2"/>
        <v>0.26627840000000003</v>
      </c>
      <c r="K13" s="1"/>
    </row>
    <row r="14" spans="1:11" x14ac:dyDescent="0.2">
      <c r="A14" s="6"/>
      <c r="B14" s="410" t="s">
        <v>322</v>
      </c>
      <c r="C14" s="351">
        <v>3240000000</v>
      </c>
      <c r="D14" s="351">
        <f t="shared" si="3"/>
        <v>3240000000</v>
      </c>
      <c r="E14" s="408"/>
      <c r="F14" s="408"/>
      <c r="G14" s="180">
        <f>94656774.79+94343205.48</f>
        <v>188999980.27000001</v>
      </c>
      <c r="H14" s="44">
        <f t="shared" si="0"/>
        <v>5.8333327243827164E-2</v>
      </c>
      <c r="I14" s="23">
        <f t="shared" si="1"/>
        <v>3051000019.73</v>
      </c>
      <c r="J14" s="169">
        <f t="shared" si="2"/>
        <v>0.94166667275617288</v>
      </c>
      <c r="K14" s="1"/>
    </row>
    <row r="15" spans="1:11" ht="13.5" thickBot="1" x14ac:dyDescent="0.25">
      <c r="A15" s="6"/>
      <c r="B15" s="411" t="s">
        <v>83</v>
      </c>
      <c r="C15" s="355">
        <v>560000000</v>
      </c>
      <c r="D15" s="351">
        <f t="shared" si="3"/>
        <v>560000000</v>
      </c>
      <c r="E15" s="23">
        <v>0</v>
      </c>
      <c r="F15" s="23">
        <v>0</v>
      </c>
      <c r="G15" s="412">
        <f>34524898.8+32604570</f>
        <v>67129468.799999997</v>
      </c>
      <c r="H15" s="413">
        <f>G15/D15</f>
        <v>0.11987405142857142</v>
      </c>
      <c r="I15" s="23">
        <f>D15-G15</f>
        <v>492870531.19999999</v>
      </c>
      <c r="J15" s="169">
        <f>I15/D15</f>
        <v>0.88012594857142856</v>
      </c>
      <c r="K15" s="1"/>
    </row>
    <row r="16" spans="1:11" ht="13.5" thickBot="1" x14ac:dyDescent="0.25">
      <c r="A16" s="6"/>
      <c r="B16" s="117" t="s">
        <v>3</v>
      </c>
      <c r="C16" s="118">
        <f>SUM(C11:C15)</f>
        <v>7555228867</v>
      </c>
      <c r="D16" s="165">
        <f>SUM(D11:D15)</f>
        <v>7555228867</v>
      </c>
      <c r="E16" s="365">
        <f>SUM(E11:E15)</f>
        <v>0</v>
      </c>
      <c r="F16" s="365">
        <f>SUM(F11:F15)</f>
        <v>0</v>
      </c>
      <c r="G16" s="165">
        <f>SUM(G12:G15)</f>
        <v>754467217.06999993</v>
      </c>
      <c r="H16" s="414">
        <f>G16/D16</f>
        <v>9.9860272978015127E-2</v>
      </c>
      <c r="I16" s="366">
        <f>SUM(I11:I15)</f>
        <v>6800761649.9299994</v>
      </c>
      <c r="J16" s="183">
        <f>I16/D16</f>
        <v>0.90013972702198475</v>
      </c>
      <c r="K16" s="1"/>
    </row>
    <row r="17" spans="1:12" ht="13.5" thickBot="1" x14ac:dyDescent="0.25">
      <c r="A17" s="6"/>
      <c r="B17" s="104"/>
      <c r="C17" s="83"/>
      <c r="D17" s="105"/>
      <c r="E17" s="161"/>
      <c r="F17" s="161"/>
      <c r="G17" s="161"/>
      <c r="H17" s="162"/>
      <c r="I17" s="161"/>
      <c r="J17" s="163"/>
      <c r="K17" s="1"/>
    </row>
    <row r="18" spans="1:12" ht="13.5" thickBot="1" x14ac:dyDescent="0.25">
      <c r="A18" s="4"/>
      <c r="B18" s="107" t="s">
        <v>4</v>
      </c>
      <c r="C18" s="86"/>
      <c r="D18" s="108"/>
      <c r="E18" s="164"/>
      <c r="F18" s="164"/>
      <c r="G18" s="188" t="s">
        <v>50</v>
      </c>
      <c r="H18" s="162"/>
      <c r="I18" s="164"/>
      <c r="J18" s="163"/>
      <c r="K18" s="5"/>
    </row>
    <row r="19" spans="1:12" ht="13.5" thickBot="1" x14ac:dyDescent="0.25">
      <c r="A19" s="6"/>
      <c r="B19" s="110" t="s">
        <v>126</v>
      </c>
      <c r="C19" s="111" t="s">
        <v>41</v>
      </c>
      <c r="D19" s="91" t="s">
        <v>41</v>
      </c>
      <c r="E19" s="160" t="s">
        <v>44</v>
      </c>
      <c r="F19" s="160" t="s">
        <v>43</v>
      </c>
      <c r="G19" s="160" t="s">
        <v>42</v>
      </c>
      <c r="H19" s="56"/>
      <c r="I19" s="160" t="s">
        <v>45</v>
      </c>
      <c r="J19" s="26"/>
      <c r="K19" s="1"/>
    </row>
    <row r="20" spans="1:12" x14ac:dyDescent="0.2">
      <c r="A20" s="4"/>
      <c r="B20" s="93" t="s">
        <v>85</v>
      </c>
      <c r="C20" s="94">
        <v>1613616502</v>
      </c>
      <c r="D20" s="94">
        <f>C20</f>
        <v>1613616502</v>
      </c>
      <c r="E20" s="322">
        <v>0</v>
      </c>
      <c r="F20" s="178">
        <f>121142380+121142380</f>
        <v>242284760</v>
      </c>
      <c r="G20" s="20">
        <v>242284760</v>
      </c>
      <c r="H20" s="40">
        <f>(G20+F20)/D20</f>
        <v>0.30030030022585874</v>
      </c>
      <c r="I20" s="20">
        <f>D20-E20-F20</f>
        <v>1371331742</v>
      </c>
      <c r="J20" s="39">
        <f t="shared" ref="J20:J37" si="4">I20/D20</f>
        <v>0.84984984988707057</v>
      </c>
      <c r="K20" s="5"/>
      <c r="L20" s="321"/>
    </row>
    <row r="21" spans="1:12" x14ac:dyDescent="0.2">
      <c r="A21" s="6"/>
      <c r="B21" s="98" t="s">
        <v>86</v>
      </c>
      <c r="C21" s="172">
        <v>71156006</v>
      </c>
      <c r="D21" s="99">
        <f>C21</f>
        <v>71156006</v>
      </c>
      <c r="E21" s="23">
        <v>0</v>
      </c>
      <c r="F21" s="176">
        <v>14044010</v>
      </c>
      <c r="G21" s="27">
        <v>0</v>
      </c>
      <c r="H21" s="41">
        <f>(G21+F21)/D21</f>
        <v>0.19736928461105588</v>
      </c>
      <c r="I21" s="27">
        <f>+D21-E21-F21</f>
        <v>57111996</v>
      </c>
      <c r="J21" s="169">
        <f t="shared" si="4"/>
        <v>0.80263071538894415</v>
      </c>
      <c r="K21" s="1"/>
      <c r="L21" s="321"/>
    </row>
    <row r="22" spans="1:12" x14ac:dyDescent="0.2">
      <c r="A22" s="6"/>
      <c r="B22" s="98" t="s">
        <v>87</v>
      </c>
      <c r="C22" s="172">
        <v>47063815</v>
      </c>
      <c r="D22" s="99">
        <f t="shared" ref="D22:D36" si="5">C22</f>
        <v>47063815</v>
      </c>
      <c r="E22" s="23">
        <v>0</v>
      </c>
      <c r="F22" s="17">
        <f>8980161+5464732-107228</f>
        <v>14337665</v>
      </c>
      <c r="G22" s="23">
        <v>7456236</v>
      </c>
      <c r="H22" s="41">
        <f t="shared" ref="H22:H37" si="6">(G22+F22)/D22</f>
        <v>0.46307127885829058</v>
      </c>
      <c r="I22" s="27">
        <f t="shared" ref="I22:I36" si="7">+D22-E22-F22</f>
        <v>32726150</v>
      </c>
      <c r="J22" s="169">
        <f t="shared" si="4"/>
        <v>0.69535693185943381</v>
      </c>
      <c r="K22" s="1"/>
      <c r="L22" s="321"/>
    </row>
    <row r="23" spans="1:12" x14ac:dyDescent="0.2">
      <c r="A23" s="6"/>
      <c r="B23" s="98" t="s">
        <v>6</v>
      </c>
      <c r="C23" s="172">
        <v>152897470</v>
      </c>
      <c r="D23" s="99">
        <f t="shared" si="5"/>
        <v>152897470</v>
      </c>
      <c r="E23" s="23">
        <v>0</v>
      </c>
      <c r="F23" s="17">
        <f>12574338+12574331</f>
        <v>25148669</v>
      </c>
      <c r="G23" s="23">
        <v>0</v>
      </c>
      <c r="H23" s="41">
        <f t="shared" si="6"/>
        <v>0.1644806091297652</v>
      </c>
      <c r="I23" s="27">
        <f t="shared" si="7"/>
        <v>127748801</v>
      </c>
      <c r="J23" s="169">
        <f t="shared" si="4"/>
        <v>0.83551939087023486</v>
      </c>
      <c r="K23" s="1"/>
      <c r="L23" s="321"/>
    </row>
    <row r="24" spans="1:12" x14ac:dyDescent="0.2">
      <c r="A24" s="6"/>
      <c r="B24" s="98" t="s">
        <v>5</v>
      </c>
      <c r="C24" s="172">
        <v>79384392</v>
      </c>
      <c r="D24" s="99">
        <f t="shared" si="5"/>
        <v>79384392</v>
      </c>
      <c r="E24" s="23">
        <v>0</v>
      </c>
      <c r="F24" s="17">
        <f>15127025+9326495-176260-113515</f>
        <v>24163745</v>
      </c>
      <c r="G24" s="23">
        <v>12871470</v>
      </c>
      <c r="H24" s="41">
        <f t="shared" si="6"/>
        <v>0.4665301839182695</v>
      </c>
      <c r="I24" s="27">
        <f t="shared" si="7"/>
        <v>55220647</v>
      </c>
      <c r="J24" s="169">
        <f t="shared" si="4"/>
        <v>0.69561088280426708</v>
      </c>
      <c r="K24" s="1"/>
      <c r="L24" s="321"/>
    </row>
    <row r="25" spans="1:12" x14ac:dyDescent="0.2">
      <c r="A25" s="6"/>
      <c r="B25" s="98" t="s">
        <v>88</v>
      </c>
      <c r="C25" s="172">
        <v>23548917</v>
      </c>
      <c r="D25" s="99">
        <f t="shared" si="5"/>
        <v>23548917</v>
      </c>
      <c r="E25" s="23">
        <v>0</v>
      </c>
      <c r="F25" s="17">
        <f>14439693+4089264</f>
        <v>18528957</v>
      </c>
      <c r="G25" s="23">
        <v>16552885</v>
      </c>
      <c r="H25" s="41">
        <f t="shared" si="6"/>
        <v>1.4897433287484092</v>
      </c>
      <c r="I25" s="27">
        <f t="shared" si="7"/>
        <v>5019960</v>
      </c>
      <c r="J25" s="169">
        <f t="shared" si="4"/>
        <v>0.21317158661691321</v>
      </c>
      <c r="K25" s="1"/>
      <c r="L25" s="321"/>
    </row>
    <row r="26" spans="1:12" x14ac:dyDescent="0.2">
      <c r="A26" s="6"/>
      <c r="B26" s="98" t="s">
        <v>90</v>
      </c>
      <c r="C26" s="172">
        <v>202107508</v>
      </c>
      <c r="D26" s="99">
        <f t="shared" si="5"/>
        <v>202107508</v>
      </c>
      <c r="E26" s="23">
        <v>0</v>
      </c>
      <c r="F26" s="17">
        <f>14373203+14479876</f>
        <v>28853079</v>
      </c>
      <c r="G26" s="23">
        <v>14373203</v>
      </c>
      <c r="H26" s="41">
        <f t="shared" si="6"/>
        <v>0.21387766554422113</v>
      </c>
      <c r="I26" s="27">
        <f t="shared" si="7"/>
        <v>173254429</v>
      </c>
      <c r="J26" s="169">
        <f t="shared" si="4"/>
        <v>0.85723895521981297</v>
      </c>
      <c r="K26" s="1"/>
      <c r="L26" s="321"/>
    </row>
    <row r="27" spans="1:12" x14ac:dyDescent="0.2">
      <c r="A27" s="6"/>
      <c r="B27" s="98" t="s">
        <v>89</v>
      </c>
      <c r="C27" s="172">
        <v>143159485</v>
      </c>
      <c r="D27" s="99">
        <f t="shared" si="5"/>
        <v>143159485</v>
      </c>
      <c r="E27" s="23">
        <v>0</v>
      </c>
      <c r="F27" s="17">
        <f>11903138+12046111</f>
        <v>23949249</v>
      </c>
      <c r="G27" s="23">
        <v>11903138</v>
      </c>
      <c r="H27" s="41">
        <f t="shared" si="6"/>
        <v>0.25043668604982755</v>
      </c>
      <c r="I27" s="27">
        <f t="shared" si="7"/>
        <v>119210236</v>
      </c>
      <c r="J27" s="169">
        <f t="shared" si="4"/>
        <v>0.83270931017948269</v>
      </c>
      <c r="K27" s="1"/>
      <c r="L27" s="321"/>
    </row>
    <row r="28" spans="1:12" x14ac:dyDescent="0.2">
      <c r="A28" s="6"/>
      <c r="B28" s="98" t="s">
        <v>46</v>
      </c>
      <c r="C28" s="172">
        <v>16996535</v>
      </c>
      <c r="D28" s="99">
        <f t="shared" si="5"/>
        <v>16996535</v>
      </c>
      <c r="E28" s="23">
        <v>0</v>
      </c>
      <c r="F28" s="17">
        <f>1397809+1397809</f>
        <v>2795618</v>
      </c>
      <c r="G28" s="23">
        <v>0</v>
      </c>
      <c r="H28" s="41">
        <f t="shared" si="6"/>
        <v>0.16448164287603326</v>
      </c>
      <c r="I28" s="27">
        <f t="shared" si="7"/>
        <v>14200917</v>
      </c>
      <c r="J28" s="169">
        <f t="shared" si="4"/>
        <v>0.83551835712396672</v>
      </c>
      <c r="K28" s="1"/>
      <c r="L28" s="321"/>
    </row>
    <row r="29" spans="1:12" x14ac:dyDescent="0.2">
      <c r="A29" s="6"/>
      <c r="B29" s="98" t="s">
        <v>91</v>
      </c>
      <c r="C29" s="172">
        <v>74911367</v>
      </c>
      <c r="D29" s="99">
        <f t="shared" si="5"/>
        <v>74911367</v>
      </c>
      <c r="E29" s="23">
        <v>0</v>
      </c>
      <c r="F29" s="17">
        <f>6151900+6309900</f>
        <v>12461800</v>
      </c>
      <c r="G29" s="23">
        <v>6151900</v>
      </c>
      <c r="H29" s="41">
        <f t="shared" si="6"/>
        <v>0.24847630934301332</v>
      </c>
      <c r="I29" s="27">
        <f t="shared" si="7"/>
        <v>62449567</v>
      </c>
      <c r="J29" s="169">
        <f t="shared" si="4"/>
        <v>0.83364607403306368</v>
      </c>
      <c r="K29" s="1"/>
      <c r="L29" s="321"/>
    </row>
    <row r="30" spans="1:12" ht="18.75" x14ac:dyDescent="0.2">
      <c r="A30" s="6"/>
      <c r="B30" s="325" t="s">
        <v>92</v>
      </c>
      <c r="C30" s="172">
        <v>8791677</v>
      </c>
      <c r="D30" s="99">
        <f t="shared" si="5"/>
        <v>8791677</v>
      </c>
      <c r="E30" s="23">
        <v>0</v>
      </c>
      <c r="F30" s="17">
        <f>777200+794900</f>
        <v>1572100</v>
      </c>
      <c r="G30" s="23">
        <v>777200</v>
      </c>
      <c r="H30" s="41">
        <f t="shared" si="6"/>
        <v>0.26721864326908279</v>
      </c>
      <c r="I30" s="27">
        <f t="shared" si="7"/>
        <v>7219577</v>
      </c>
      <c r="J30" s="169">
        <f t="shared" si="4"/>
        <v>0.82118314856198649</v>
      </c>
      <c r="K30" s="1"/>
      <c r="L30" s="321"/>
    </row>
    <row r="31" spans="1:12" x14ac:dyDescent="0.2">
      <c r="A31" s="6"/>
      <c r="B31" s="98" t="s">
        <v>93</v>
      </c>
      <c r="C31" s="172">
        <v>56183525</v>
      </c>
      <c r="D31" s="99">
        <f t="shared" si="5"/>
        <v>56183525</v>
      </c>
      <c r="E31" s="23">
        <v>0</v>
      </c>
      <c r="F31" s="17">
        <f>4614200+4732700</f>
        <v>9346900</v>
      </c>
      <c r="G31" s="23">
        <v>4614200</v>
      </c>
      <c r="H31" s="41">
        <f t="shared" si="6"/>
        <v>0.2484909944685742</v>
      </c>
      <c r="I31" s="27">
        <f t="shared" si="7"/>
        <v>46836625</v>
      </c>
      <c r="J31" s="169">
        <f t="shared" si="4"/>
        <v>0.83363628394622802</v>
      </c>
      <c r="K31" s="1"/>
      <c r="L31" s="321"/>
    </row>
    <row r="32" spans="1:12" x14ac:dyDescent="0.2">
      <c r="A32" s="6"/>
      <c r="B32" s="98" t="s">
        <v>94</v>
      </c>
      <c r="C32" s="172">
        <v>37455684</v>
      </c>
      <c r="D32" s="99">
        <f t="shared" si="5"/>
        <v>37455684</v>
      </c>
      <c r="E32" s="23">
        <v>0</v>
      </c>
      <c r="F32" s="17">
        <f>3076400+3155400</f>
        <v>6231800</v>
      </c>
      <c r="G32" s="23">
        <v>3076400</v>
      </c>
      <c r="H32" s="41">
        <f t="shared" si="6"/>
        <v>0.24851234861977156</v>
      </c>
      <c r="I32" s="27">
        <f t="shared" si="7"/>
        <v>31223884</v>
      </c>
      <c r="J32" s="169">
        <f t="shared" si="4"/>
        <v>0.83362204785794325</v>
      </c>
      <c r="K32" s="1"/>
      <c r="L32" s="321"/>
    </row>
    <row r="33" spans="1:14" x14ac:dyDescent="0.2">
      <c r="A33" s="6"/>
      <c r="B33" s="98" t="s">
        <v>7</v>
      </c>
      <c r="C33" s="99">
        <v>38014534</v>
      </c>
      <c r="D33" s="99">
        <f t="shared" si="5"/>
        <v>38014534</v>
      </c>
      <c r="E33" s="23">
        <v>0</v>
      </c>
      <c r="F33" s="17">
        <v>0</v>
      </c>
      <c r="G33" s="23">
        <v>0</v>
      </c>
      <c r="H33" s="41">
        <f t="shared" si="6"/>
        <v>0</v>
      </c>
      <c r="I33" s="27">
        <f t="shared" si="7"/>
        <v>38014534</v>
      </c>
      <c r="J33" s="169">
        <f t="shared" si="4"/>
        <v>1</v>
      </c>
      <c r="K33" s="1"/>
      <c r="L33" s="321"/>
    </row>
    <row r="34" spans="1:14" x14ac:dyDescent="0.2">
      <c r="A34" s="6"/>
      <c r="B34" s="98" t="s">
        <v>95</v>
      </c>
      <c r="C34" s="99">
        <v>8964537</v>
      </c>
      <c r="D34" s="99">
        <f t="shared" si="5"/>
        <v>8964537</v>
      </c>
      <c r="E34" s="23">
        <v>0</v>
      </c>
      <c r="F34" s="17">
        <f>1679013+988984</f>
        <v>2667997</v>
      </c>
      <c r="G34" s="23">
        <v>1193271</v>
      </c>
      <c r="H34" s="41">
        <f t="shared" si="6"/>
        <v>0.43072698567700707</v>
      </c>
      <c r="I34" s="27">
        <f t="shared" si="7"/>
        <v>6296540</v>
      </c>
      <c r="J34" s="169">
        <f t="shared" si="4"/>
        <v>0.70238317941015804</v>
      </c>
      <c r="K34" s="1"/>
      <c r="L34" s="321"/>
      <c r="N34" s="323"/>
    </row>
    <row r="35" spans="1:14" x14ac:dyDescent="0.2">
      <c r="A35" s="6"/>
      <c r="B35" s="98" t="s">
        <v>96</v>
      </c>
      <c r="C35" s="99">
        <v>525230000</v>
      </c>
      <c r="D35" s="99">
        <f t="shared" si="5"/>
        <v>525230000</v>
      </c>
      <c r="E35" s="23">
        <v>39858000</v>
      </c>
      <c r="F35" s="17">
        <f>308500000+18000000</f>
        <v>326500000</v>
      </c>
      <c r="G35" s="23">
        <v>23200000</v>
      </c>
      <c r="H35" s="41">
        <f t="shared" si="6"/>
        <v>0.66580355272928049</v>
      </c>
      <c r="I35" s="27">
        <f t="shared" si="7"/>
        <v>158872000</v>
      </c>
      <c r="J35" s="169">
        <f t="shared" si="4"/>
        <v>0.30248081792738418</v>
      </c>
      <c r="K35" s="1"/>
      <c r="L35" s="321"/>
    </row>
    <row r="36" spans="1:14" ht="13.5" thickBot="1" x14ac:dyDescent="0.25">
      <c r="A36" s="6"/>
      <c r="B36" s="98" t="s">
        <v>97</v>
      </c>
      <c r="C36" s="155">
        <v>154700000</v>
      </c>
      <c r="D36" s="153">
        <f t="shared" si="5"/>
        <v>154700000</v>
      </c>
      <c r="E36" s="21">
        <v>0</v>
      </c>
      <c r="F36" s="42">
        <f>115066666+15000000</f>
        <v>130066666</v>
      </c>
      <c r="G36" s="21">
        <v>15400000</v>
      </c>
      <c r="H36" s="46">
        <f t="shared" si="6"/>
        <v>0.94031458306399485</v>
      </c>
      <c r="I36" s="27">
        <f t="shared" si="7"/>
        <v>24633334</v>
      </c>
      <c r="J36" s="169">
        <f t="shared" si="4"/>
        <v>0.15923292824822236</v>
      </c>
      <c r="K36" s="1"/>
      <c r="L36" s="321"/>
    </row>
    <row r="37" spans="1:14" ht="13.5" thickBot="1" x14ac:dyDescent="0.25">
      <c r="A37" s="6" t="s">
        <v>47</v>
      </c>
      <c r="B37" s="159" t="s">
        <v>8</v>
      </c>
      <c r="C37" s="130">
        <f t="shared" ref="C37" si="8">SUM(C20:C36)</f>
        <v>3254181954</v>
      </c>
      <c r="D37" s="130">
        <f>SUM(D20:D36)</f>
        <v>3254181954</v>
      </c>
      <c r="E37" s="102">
        <f t="shared" ref="E37:G37" si="9">SUM(E20:E36)</f>
        <v>39858000</v>
      </c>
      <c r="F37" s="118">
        <f t="shared" si="9"/>
        <v>882953015</v>
      </c>
      <c r="G37" s="181">
        <f t="shared" si="9"/>
        <v>359854663</v>
      </c>
      <c r="H37" s="184">
        <f t="shared" si="6"/>
        <v>0.38191093662490394</v>
      </c>
      <c r="I37" s="118">
        <f>SUM(I20:I36)</f>
        <v>2331370939</v>
      </c>
      <c r="J37" s="185">
        <f t="shared" si="4"/>
        <v>0.71642304331947626</v>
      </c>
      <c r="K37" s="1"/>
      <c r="L37" s="321"/>
    </row>
    <row r="38" spans="1:14" ht="13.5" thickBot="1" x14ac:dyDescent="0.25">
      <c r="A38" s="6"/>
      <c r="B38" s="114" t="s">
        <v>9</v>
      </c>
      <c r="C38" s="83"/>
      <c r="D38" s="141"/>
      <c r="E38" s="161"/>
      <c r="F38" s="161"/>
      <c r="G38" s="161"/>
      <c r="H38" s="162"/>
      <c r="I38" s="161"/>
      <c r="J38" s="163"/>
      <c r="K38" s="1"/>
      <c r="L38" s="321"/>
    </row>
    <row r="39" spans="1:14" x14ac:dyDescent="0.2">
      <c r="A39" s="6"/>
      <c r="B39" s="326" t="s">
        <v>98</v>
      </c>
      <c r="C39" s="94">
        <v>37500000</v>
      </c>
      <c r="D39" s="173">
        <f>C39</f>
        <v>37500000</v>
      </c>
      <c r="E39" s="22">
        <v>0</v>
      </c>
      <c r="F39" s="22">
        <f>293056+3262502</f>
        <v>3555558</v>
      </c>
      <c r="G39" s="16">
        <v>3123365</v>
      </c>
      <c r="H39" s="40">
        <f>(G39+F39)/D39</f>
        <v>0.17810461333333333</v>
      </c>
      <c r="I39" s="22">
        <f>D39-E39-F39</f>
        <v>33944442</v>
      </c>
      <c r="J39" s="39">
        <f t="shared" ref="J39:J67" si="10">I39/D39</f>
        <v>0.90518511999999995</v>
      </c>
      <c r="K39" s="1"/>
      <c r="L39" s="321"/>
    </row>
    <row r="40" spans="1:14" x14ac:dyDescent="0.2">
      <c r="A40" s="6"/>
      <c r="B40" s="156" t="s">
        <v>14</v>
      </c>
      <c r="C40" s="351">
        <v>106713180</v>
      </c>
      <c r="D40" s="99">
        <f>C40</f>
        <v>106713180</v>
      </c>
      <c r="E40" s="23">
        <v>0</v>
      </c>
      <c r="F40" s="23">
        <v>5982847</v>
      </c>
      <c r="G40" s="17">
        <v>5982847</v>
      </c>
      <c r="H40" s="41">
        <f t="shared" ref="H40:H67" si="11">(G40+F40)/D40</f>
        <v>0.11212948578610439</v>
      </c>
      <c r="I40" s="23">
        <f>D40-E40-F40</f>
        <v>100730333</v>
      </c>
      <c r="J40" s="169">
        <f t="shared" si="10"/>
        <v>0.94393525710694781</v>
      </c>
      <c r="K40" s="1"/>
      <c r="L40" s="321"/>
    </row>
    <row r="41" spans="1:14" x14ac:dyDescent="0.2">
      <c r="A41" s="6"/>
      <c r="B41" s="98" t="s">
        <v>99</v>
      </c>
      <c r="C41" s="172">
        <v>21052260</v>
      </c>
      <c r="D41" s="99">
        <f t="shared" ref="D41:D66" si="12">C41</f>
        <v>21052260</v>
      </c>
      <c r="E41" s="23">
        <v>0</v>
      </c>
      <c r="F41" s="23">
        <v>0</v>
      </c>
      <c r="G41" s="17">
        <v>0</v>
      </c>
      <c r="H41" s="41">
        <f t="shared" si="11"/>
        <v>0</v>
      </c>
      <c r="I41" s="23">
        <f t="shared" ref="I41:I66" si="13">D41-E41-F41</f>
        <v>21052260</v>
      </c>
      <c r="J41" s="169">
        <f t="shared" si="10"/>
        <v>1</v>
      </c>
      <c r="K41" s="1"/>
      <c r="L41" s="321"/>
    </row>
    <row r="42" spans="1:14" x14ac:dyDescent="0.2">
      <c r="A42" s="6"/>
      <c r="B42" s="98" t="s">
        <v>11</v>
      </c>
      <c r="C42" s="172">
        <v>64546500</v>
      </c>
      <c r="D42" s="99">
        <f t="shared" si="12"/>
        <v>64546500</v>
      </c>
      <c r="E42" s="23">
        <v>0</v>
      </c>
      <c r="F42" s="23">
        <v>0</v>
      </c>
      <c r="G42" s="17">
        <v>0</v>
      </c>
      <c r="H42" s="41">
        <f t="shared" si="11"/>
        <v>0</v>
      </c>
      <c r="I42" s="23">
        <f t="shared" si="13"/>
        <v>64546500</v>
      </c>
      <c r="J42" s="169">
        <f t="shared" si="10"/>
        <v>1</v>
      </c>
      <c r="K42" s="1"/>
      <c r="L42" s="321"/>
    </row>
    <row r="43" spans="1:14" x14ac:dyDescent="0.2">
      <c r="A43" s="6"/>
      <c r="B43" s="98" t="s">
        <v>100</v>
      </c>
      <c r="C43" s="172">
        <v>16650000</v>
      </c>
      <c r="D43" s="99">
        <f t="shared" si="12"/>
        <v>16650000</v>
      </c>
      <c r="E43" s="23">
        <v>0</v>
      </c>
      <c r="F43" s="23">
        <v>0</v>
      </c>
      <c r="G43" s="17">
        <v>0</v>
      </c>
      <c r="H43" s="41">
        <f t="shared" si="11"/>
        <v>0</v>
      </c>
      <c r="I43" s="23">
        <f t="shared" si="13"/>
        <v>16650000</v>
      </c>
      <c r="J43" s="169">
        <f t="shared" si="10"/>
        <v>1</v>
      </c>
      <c r="K43" s="1"/>
      <c r="L43" s="321"/>
    </row>
    <row r="44" spans="1:14" ht="18.75" x14ac:dyDescent="0.2">
      <c r="A44" s="6"/>
      <c r="B44" s="325" t="s">
        <v>101</v>
      </c>
      <c r="C44" s="172">
        <v>60000000</v>
      </c>
      <c r="D44" s="99">
        <f t="shared" si="12"/>
        <v>60000000</v>
      </c>
      <c r="E44" s="23">
        <v>0</v>
      </c>
      <c r="F44" s="23">
        <v>5640000</v>
      </c>
      <c r="G44" s="17">
        <v>0</v>
      </c>
      <c r="H44" s="41">
        <f t="shared" si="11"/>
        <v>9.4E-2</v>
      </c>
      <c r="I44" s="23">
        <f t="shared" si="13"/>
        <v>54360000</v>
      </c>
      <c r="J44" s="169">
        <f t="shared" si="10"/>
        <v>0.90600000000000003</v>
      </c>
      <c r="K44" s="1"/>
      <c r="L44" s="321"/>
    </row>
    <row r="45" spans="1:14" x14ac:dyDescent="0.2">
      <c r="A45" s="6"/>
      <c r="B45" s="98" t="s">
        <v>10</v>
      </c>
      <c r="C45" s="172">
        <v>25000000</v>
      </c>
      <c r="D45" s="99">
        <f t="shared" si="12"/>
        <v>25000000</v>
      </c>
      <c r="E45" s="23">
        <v>0</v>
      </c>
      <c r="F45" s="23">
        <v>9120000</v>
      </c>
      <c r="G45" s="17">
        <v>163500</v>
      </c>
      <c r="H45" s="41">
        <f t="shared" si="11"/>
        <v>0.37134</v>
      </c>
      <c r="I45" s="23">
        <f t="shared" si="13"/>
        <v>15880000</v>
      </c>
      <c r="J45" s="169">
        <f t="shared" si="10"/>
        <v>0.63519999999999999</v>
      </c>
      <c r="K45" s="1"/>
      <c r="L45" s="321"/>
    </row>
    <row r="46" spans="1:14" x14ac:dyDescent="0.2">
      <c r="A46" s="6"/>
      <c r="B46" s="98" t="s">
        <v>102</v>
      </c>
      <c r="C46" s="172">
        <v>21200000</v>
      </c>
      <c r="D46" s="99">
        <f t="shared" si="12"/>
        <v>21200000</v>
      </c>
      <c r="E46" s="23">
        <v>0</v>
      </c>
      <c r="F46" s="23">
        <v>4680000</v>
      </c>
      <c r="G46" s="17">
        <v>49000</v>
      </c>
      <c r="H46" s="41">
        <f t="shared" si="11"/>
        <v>0.22306603773584904</v>
      </c>
      <c r="I46" s="23">
        <f t="shared" si="13"/>
        <v>16520000</v>
      </c>
      <c r="J46" s="169">
        <f t="shared" si="10"/>
        <v>0.77924528301886797</v>
      </c>
      <c r="K46" s="1"/>
      <c r="L46" s="321"/>
    </row>
    <row r="47" spans="1:14" x14ac:dyDescent="0.2">
      <c r="A47" s="6"/>
      <c r="B47" s="98" t="s">
        <v>103</v>
      </c>
      <c r="C47" s="172">
        <v>15900000</v>
      </c>
      <c r="D47" s="99">
        <f t="shared" si="12"/>
        <v>15900000</v>
      </c>
      <c r="E47" s="23">
        <v>0</v>
      </c>
      <c r="F47" s="23">
        <v>4920000</v>
      </c>
      <c r="G47" s="17">
        <v>0</v>
      </c>
      <c r="H47" s="41">
        <f t="shared" si="11"/>
        <v>0.30943396226415093</v>
      </c>
      <c r="I47" s="23">
        <f t="shared" si="13"/>
        <v>10980000</v>
      </c>
      <c r="J47" s="169">
        <f t="shared" si="10"/>
        <v>0.69056603773584901</v>
      </c>
      <c r="K47" s="1"/>
      <c r="L47" s="321"/>
    </row>
    <row r="48" spans="1:14" x14ac:dyDescent="0.2">
      <c r="A48" s="6"/>
      <c r="B48" s="98" t="s">
        <v>104</v>
      </c>
      <c r="C48" s="172">
        <v>71020000</v>
      </c>
      <c r="D48" s="99">
        <f t="shared" si="12"/>
        <v>71020000</v>
      </c>
      <c r="E48" s="23">
        <v>0</v>
      </c>
      <c r="F48" s="23">
        <v>0</v>
      </c>
      <c r="G48" s="17">
        <v>0</v>
      </c>
      <c r="H48" s="41">
        <f t="shared" si="11"/>
        <v>0</v>
      </c>
      <c r="I48" s="23">
        <f t="shared" si="13"/>
        <v>71020000</v>
      </c>
      <c r="J48" s="169">
        <f t="shared" si="10"/>
        <v>1</v>
      </c>
      <c r="K48" s="1"/>
      <c r="L48" s="321"/>
    </row>
    <row r="49" spans="1:12" x14ac:dyDescent="0.2">
      <c r="A49" s="6"/>
      <c r="B49" s="98" t="s">
        <v>105</v>
      </c>
      <c r="C49" s="172">
        <v>34662000</v>
      </c>
      <c r="D49" s="99">
        <f t="shared" si="12"/>
        <v>34662000</v>
      </c>
      <c r="E49" s="23">
        <v>0</v>
      </c>
      <c r="F49" s="23">
        <v>0</v>
      </c>
      <c r="G49" s="17">
        <v>0</v>
      </c>
      <c r="H49" s="41">
        <f t="shared" si="11"/>
        <v>0</v>
      </c>
      <c r="I49" s="23">
        <f t="shared" si="13"/>
        <v>34662000</v>
      </c>
      <c r="J49" s="169">
        <f t="shared" si="10"/>
        <v>1</v>
      </c>
      <c r="K49" s="1"/>
      <c r="L49" s="321"/>
    </row>
    <row r="50" spans="1:12" x14ac:dyDescent="0.2">
      <c r="A50" s="6"/>
      <c r="B50" s="98" t="s">
        <v>106</v>
      </c>
      <c r="C50" s="172">
        <v>32000000</v>
      </c>
      <c r="D50" s="99">
        <f t="shared" si="12"/>
        <v>32000000</v>
      </c>
      <c r="E50" s="23">
        <v>0</v>
      </c>
      <c r="F50" s="23">
        <v>1968000</v>
      </c>
      <c r="G50" s="17">
        <v>0</v>
      </c>
      <c r="H50" s="41">
        <f t="shared" si="11"/>
        <v>6.1499999999999999E-2</v>
      </c>
      <c r="I50" s="23">
        <f t="shared" si="13"/>
        <v>30032000</v>
      </c>
      <c r="J50" s="169">
        <f t="shared" si="10"/>
        <v>0.9385</v>
      </c>
      <c r="K50" s="1"/>
      <c r="L50" s="321"/>
    </row>
    <row r="51" spans="1:12" x14ac:dyDescent="0.2">
      <c r="A51" s="6"/>
      <c r="B51" s="98" t="s">
        <v>298</v>
      </c>
      <c r="C51" s="172">
        <v>42400000</v>
      </c>
      <c r="D51" s="99">
        <f t="shared" si="12"/>
        <v>42400000</v>
      </c>
      <c r="E51" s="23">
        <v>0</v>
      </c>
      <c r="F51" s="23">
        <v>0</v>
      </c>
      <c r="G51" s="17">
        <v>0</v>
      </c>
      <c r="H51" s="41">
        <f t="shared" si="11"/>
        <v>0</v>
      </c>
      <c r="I51" s="23">
        <f t="shared" si="13"/>
        <v>42400000</v>
      </c>
      <c r="J51" s="169">
        <f t="shared" si="10"/>
        <v>1</v>
      </c>
      <c r="K51" s="1"/>
      <c r="L51" s="321"/>
    </row>
    <row r="52" spans="1:12" x14ac:dyDescent="0.2">
      <c r="A52" s="6"/>
      <c r="B52" s="101" t="s">
        <v>107</v>
      </c>
      <c r="C52" s="352">
        <v>3180000</v>
      </c>
      <c r="D52" s="99">
        <f t="shared" si="12"/>
        <v>3180000</v>
      </c>
      <c r="E52" s="23">
        <v>0</v>
      </c>
      <c r="F52" s="23">
        <v>2400000</v>
      </c>
      <c r="G52" s="17">
        <v>0</v>
      </c>
      <c r="H52" s="41">
        <f t="shared" si="11"/>
        <v>0.75471698113207553</v>
      </c>
      <c r="I52" s="23">
        <f t="shared" si="13"/>
        <v>780000</v>
      </c>
      <c r="J52" s="169">
        <f t="shared" si="10"/>
        <v>0.24528301886792453</v>
      </c>
      <c r="K52" s="1"/>
      <c r="L52" s="321"/>
    </row>
    <row r="53" spans="1:12" x14ac:dyDescent="0.2">
      <c r="A53" s="6"/>
      <c r="B53" s="101" t="s">
        <v>13</v>
      </c>
      <c r="C53" s="353">
        <v>134547252</v>
      </c>
      <c r="D53" s="99">
        <f t="shared" si="12"/>
        <v>134547252</v>
      </c>
      <c r="E53" s="23">
        <v>0</v>
      </c>
      <c r="F53" s="23">
        <f>10141137.66+10082360.46</f>
        <v>20223498.120000001</v>
      </c>
      <c r="G53" s="17">
        <v>16064864.119999999</v>
      </c>
      <c r="H53" s="41">
        <f t="shared" si="11"/>
        <v>0.26970719729006432</v>
      </c>
      <c r="I53" s="23">
        <f t="shared" si="13"/>
        <v>114323753.88</v>
      </c>
      <c r="J53" s="169">
        <f t="shared" si="10"/>
        <v>0.84969222470630612</v>
      </c>
      <c r="K53" s="1"/>
      <c r="L53" s="321"/>
    </row>
    <row r="54" spans="1:12" x14ac:dyDescent="0.2">
      <c r="A54" s="6"/>
      <c r="B54" s="101" t="s">
        <v>12</v>
      </c>
      <c r="C54" s="353">
        <v>4770000</v>
      </c>
      <c r="D54" s="99">
        <f t="shared" si="12"/>
        <v>4770000</v>
      </c>
      <c r="E54" s="180">
        <v>0</v>
      </c>
      <c r="F54" s="180">
        <v>4560000</v>
      </c>
      <c r="G54" s="177">
        <v>0</v>
      </c>
      <c r="H54" s="41">
        <f t="shared" si="11"/>
        <v>0.95597484276729561</v>
      </c>
      <c r="I54" s="23">
        <f t="shared" si="13"/>
        <v>210000</v>
      </c>
      <c r="J54" s="169">
        <f t="shared" si="10"/>
        <v>4.40251572327044E-2</v>
      </c>
      <c r="K54" s="1"/>
      <c r="L54" s="321"/>
    </row>
    <row r="55" spans="1:12" x14ac:dyDescent="0.2">
      <c r="A55" s="6"/>
      <c r="B55" s="101" t="s">
        <v>108</v>
      </c>
      <c r="C55" s="353">
        <v>426756000</v>
      </c>
      <c r="D55" s="99">
        <f t="shared" si="12"/>
        <v>426756000</v>
      </c>
      <c r="E55" s="23">
        <v>0</v>
      </c>
      <c r="F55" s="23">
        <v>174589044</v>
      </c>
      <c r="G55" s="17">
        <v>0</v>
      </c>
      <c r="H55" s="41">
        <f t="shared" si="11"/>
        <v>0.40910741500998227</v>
      </c>
      <c r="I55" s="23">
        <f t="shared" si="13"/>
        <v>252166956</v>
      </c>
      <c r="J55" s="169">
        <f t="shared" si="10"/>
        <v>0.59089258499001773</v>
      </c>
      <c r="K55" s="1"/>
      <c r="L55" s="321"/>
    </row>
    <row r="56" spans="1:12" x14ac:dyDescent="0.2">
      <c r="A56" s="6"/>
      <c r="B56" s="101" t="s">
        <v>109</v>
      </c>
      <c r="C56" s="353">
        <v>25250790</v>
      </c>
      <c r="D56" s="99">
        <f t="shared" si="12"/>
        <v>25250790</v>
      </c>
      <c r="E56" s="23">
        <v>0</v>
      </c>
      <c r="F56" s="23">
        <v>0</v>
      </c>
      <c r="G56" s="17">
        <v>0</v>
      </c>
      <c r="H56" s="41">
        <f t="shared" si="11"/>
        <v>0</v>
      </c>
      <c r="I56" s="23">
        <f t="shared" si="13"/>
        <v>25250790</v>
      </c>
      <c r="J56" s="169">
        <f t="shared" si="10"/>
        <v>1</v>
      </c>
      <c r="K56" s="1"/>
      <c r="L56" s="321"/>
    </row>
    <row r="57" spans="1:12" x14ac:dyDescent="0.2">
      <c r="A57" s="6"/>
      <c r="B57" s="101" t="s">
        <v>110</v>
      </c>
      <c r="C57" s="352">
        <v>79500000</v>
      </c>
      <c r="D57" s="99">
        <f t="shared" si="12"/>
        <v>79500000</v>
      </c>
      <c r="E57" s="23">
        <v>0</v>
      </c>
      <c r="F57" s="23">
        <v>0</v>
      </c>
      <c r="G57" s="17">
        <v>0</v>
      </c>
      <c r="H57" s="41">
        <f t="shared" si="11"/>
        <v>0</v>
      </c>
      <c r="I57" s="23">
        <f t="shared" si="13"/>
        <v>79500000</v>
      </c>
      <c r="J57" s="169">
        <f t="shared" si="10"/>
        <v>1</v>
      </c>
      <c r="K57" s="1"/>
      <c r="L57" s="321"/>
    </row>
    <row r="58" spans="1:12" x14ac:dyDescent="0.2">
      <c r="A58" s="6"/>
      <c r="B58" s="101" t="s">
        <v>111</v>
      </c>
      <c r="C58" s="353">
        <v>3180000</v>
      </c>
      <c r="D58" s="99">
        <f t="shared" si="12"/>
        <v>3180000</v>
      </c>
      <c r="E58" s="23">
        <v>0</v>
      </c>
      <c r="F58" s="23">
        <v>0</v>
      </c>
      <c r="G58" s="17">
        <v>0</v>
      </c>
      <c r="H58" s="41">
        <f t="shared" si="11"/>
        <v>0</v>
      </c>
      <c r="I58" s="23">
        <f t="shared" si="13"/>
        <v>3180000</v>
      </c>
      <c r="J58" s="169">
        <f t="shared" si="10"/>
        <v>1</v>
      </c>
      <c r="K58" s="1"/>
      <c r="L58" s="321"/>
    </row>
    <row r="59" spans="1:12" x14ac:dyDescent="0.2">
      <c r="A59" s="6"/>
      <c r="B59" s="101" t="s">
        <v>112</v>
      </c>
      <c r="C59" s="353">
        <v>120000000</v>
      </c>
      <c r="D59" s="99">
        <f t="shared" si="12"/>
        <v>120000000</v>
      </c>
      <c r="E59" s="23">
        <v>0</v>
      </c>
      <c r="F59" s="23">
        <v>100000000</v>
      </c>
      <c r="G59" s="17">
        <v>0</v>
      </c>
      <c r="H59" s="41">
        <f t="shared" si="11"/>
        <v>0.83333333333333337</v>
      </c>
      <c r="I59" s="23">
        <f t="shared" si="13"/>
        <v>20000000</v>
      </c>
      <c r="J59" s="169">
        <f t="shared" si="10"/>
        <v>0.16666666666666666</v>
      </c>
      <c r="K59" s="1"/>
      <c r="L59" s="321"/>
    </row>
    <row r="60" spans="1:12" ht="18.75" x14ac:dyDescent="0.2">
      <c r="A60" s="6"/>
      <c r="B60" s="325" t="s">
        <v>113</v>
      </c>
      <c r="C60" s="353">
        <v>42400000</v>
      </c>
      <c r="D60" s="99">
        <f t="shared" si="12"/>
        <v>42400000</v>
      </c>
      <c r="E60" s="23">
        <v>15000000</v>
      </c>
      <c r="F60" s="23">
        <v>6480000</v>
      </c>
      <c r="G60" s="17">
        <v>501000</v>
      </c>
      <c r="H60" s="41">
        <f t="shared" si="11"/>
        <v>0.16464622641509433</v>
      </c>
      <c r="I60" s="23">
        <f t="shared" si="13"/>
        <v>20920000</v>
      </c>
      <c r="J60" s="169">
        <f t="shared" si="10"/>
        <v>0.49339622641509434</v>
      </c>
      <c r="K60" s="1"/>
      <c r="L60" s="321"/>
    </row>
    <row r="61" spans="1:12" ht="18.75" x14ac:dyDescent="0.2">
      <c r="A61" s="6"/>
      <c r="B61" s="325" t="s">
        <v>114</v>
      </c>
      <c r="C61" s="353">
        <v>139641800</v>
      </c>
      <c r="D61" s="99">
        <f t="shared" si="12"/>
        <v>139641800</v>
      </c>
      <c r="E61" s="180">
        <v>0</v>
      </c>
      <c r="F61" s="180">
        <v>0</v>
      </c>
      <c r="G61" s="177">
        <v>0</v>
      </c>
      <c r="H61" s="41">
        <f t="shared" si="11"/>
        <v>0</v>
      </c>
      <c r="I61" s="23">
        <f t="shared" si="13"/>
        <v>139641800</v>
      </c>
      <c r="J61" s="169">
        <f t="shared" si="10"/>
        <v>1</v>
      </c>
      <c r="K61" s="1"/>
      <c r="L61" s="321"/>
    </row>
    <row r="62" spans="1:12" x14ac:dyDescent="0.2">
      <c r="A62" s="6"/>
      <c r="B62" s="101" t="s">
        <v>115</v>
      </c>
      <c r="C62" s="353">
        <v>37100000</v>
      </c>
      <c r="D62" s="99">
        <f t="shared" si="12"/>
        <v>37100000</v>
      </c>
      <c r="E62" s="23">
        <v>0</v>
      </c>
      <c r="F62" s="23">
        <v>11640000</v>
      </c>
      <c r="G62" s="17">
        <v>99000</v>
      </c>
      <c r="H62" s="41">
        <f t="shared" si="11"/>
        <v>0.31641509433962262</v>
      </c>
      <c r="I62" s="23">
        <f t="shared" si="13"/>
        <v>25460000</v>
      </c>
      <c r="J62" s="169">
        <f t="shared" si="10"/>
        <v>0.68625336927223723</v>
      </c>
      <c r="K62" s="1"/>
      <c r="L62" s="321"/>
    </row>
    <row r="63" spans="1:12" ht="18.75" x14ac:dyDescent="0.2">
      <c r="A63" s="6"/>
      <c r="B63" s="325" t="s">
        <v>116</v>
      </c>
      <c r="C63" s="353">
        <v>60000000</v>
      </c>
      <c r="D63" s="99">
        <f t="shared" si="12"/>
        <v>60000000</v>
      </c>
      <c r="E63" s="23">
        <v>10000000</v>
      </c>
      <c r="F63" s="23">
        <v>10440000</v>
      </c>
      <c r="G63" s="17">
        <v>0</v>
      </c>
      <c r="H63" s="41">
        <f t="shared" si="11"/>
        <v>0.17399999999999999</v>
      </c>
      <c r="I63" s="23">
        <f t="shared" si="13"/>
        <v>39560000</v>
      </c>
      <c r="J63" s="169">
        <f t="shared" si="10"/>
        <v>0.65933333333333333</v>
      </c>
      <c r="K63" s="1"/>
      <c r="L63" s="321"/>
    </row>
    <row r="64" spans="1:12" ht="18.75" x14ac:dyDescent="0.2">
      <c r="A64" s="6"/>
      <c r="B64" s="325" t="s">
        <v>117</v>
      </c>
      <c r="C64" s="353">
        <v>9010000</v>
      </c>
      <c r="D64" s="99">
        <f t="shared" si="12"/>
        <v>9010000</v>
      </c>
      <c r="E64" s="23">
        <v>0</v>
      </c>
      <c r="F64" s="23">
        <v>6480000</v>
      </c>
      <c r="G64" s="17">
        <v>0</v>
      </c>
      <c r="H64" s="41">
        <f t="shared" si="11"/>
        <v>0.71920088790233072</v>
      </c>
      <c r="I64" s="23">
        <f t="shared" si="13"/>
        <v>2530000</v>
      </c>
      <c r="J64" s="169">
        <f t="shared" si="10"/>
        <v>0.28079911209766928</v>
      </c>
      <c r="K64" s="1"/>
      <c r="L64" s="321"/>
    </row>
    <row r="65" spans="1:12" x14ac:dyDescent="0.2">
      <c r="A65" s="6"/>
      <c r="B65" s="101" t="s">
        <v>118</v>
      </c>
      <c r="C65" s="353">
        <v>168431350</v>
      </c>
      <c r="D65" s="99">
        <f t="shared" si="12"/>
        <v>168431350</v>
      </c>
      <c r="E65" s="23">
        <v>0</v>
      </c>
      <c r="F65" s="23">
        <v>29070978</v>
      </c>
      <c r="G65" s="17">
        <v>29070978</v>
      </c>
      <c r="H65" s="41">
        <f t="shared" si="11"/>
        <v>0.34519675820445539</v>
      </c>
      <c r="I65" s="23">
        <f t="shared" si="13"/>
        <v>139360372</v>
      </c>
      <c r="J65" s="169">
        <f t="shared" si="10"/>
        <v>0.82740162089777225</v>
      </c>
      <c r="K65" s="1"/>
      <c r="L65" s="321"/>
    </row>
    <row r="66" spans="1:12" ht="13.5" thickBot="1" x14ac:dyDescent="0.25">
      <c r="A66" s="6"/>
      <c r="B66" s="122" t="s">
        <v>119</v>
      </c>
      <c r="C66" s="155">
        <v>14840000</v>
      </c>
      <c r="D66" s="153">
        <f t="shared" si="12"/>
        <v>14840000</v>
      </c>
      <c r="E66" s="21">
        <v>0</v>
      </c>
      <c r="F66" s="21">
        <v>0</v>
      </c>
      <c r="G66" s="42">
        <v>0</v>
      </c>
      <c r="H66" s="46">
        <f t="shared" si="11"/>
        <v>0</v>
      </c>
      <c r="I66" s="23">
        <f t="shared" si="13"/>
        <v>14840000</v>
      </c>
      <c r="J66" s="182">
        <f t="shared" si="10"/>
        <v>1</v>
      </c>
      <c r="K66" s="1"/>
      <c r="L66" s="321"/>
    </row>
    <row r="67" spans="1:12" ht="13.5" thickBot="1" x14ac:dyDescent="0.25">
      <c r="A67" s="6"/>
      <c r="B67" s="117" t="s">
        <v>15</v>
      </c>
      <c r="C67" s="118">
        <f>SUM(C39:C66)</f>
        <v>1817251132</v>
      </c>
      <c r="D67" s="118">
        <f>SUM(D39:D66)</f>
        <v>1817251132</v>
      </c>
      <c r="E67" s="175">
        <f>SUM(E39:E66)</f>
        <v>25000000</v>
      </c>
      <c r="F67" s="118">
        <f>SUM(F39:F66)</f>
        <v>401749925.12</v>
      </c>
      <c r="G67" s="118">
        <f>SUM(G39:G66)</f>
        <v>55054554.119999997</v>
      </c>
      <c r="H67" s="184">
        <f t="shared" si="11"/>
        <v>0.25137113478490875</v>
      </c>
      <c r="I67" s="131">
        <f>SUM(I39:I66)</f>
        <v>1390501206.8800001</v>
      </c>
      <c r="J67" s="183">
        <f t="shared" si="10"/>
        <v>0.76516733565033768</v>
      </c>
      <c r="K67" s="1"/>
      <c r="L67" s="321"/>
    </row>
    <row r="68" spans="1:12" ht="13.5" thickBot="1" x14ac:dyDescent="0.25">
      <c r="A68" s="6"/>
      <c r="B68" s="114" t="s">
        <v>121</v>
      </c>
      <c r="C68" s="124"/>
      <c r="D68" s="141"/>
      <c r="E68" s="161"/>
      <c r="F68" s="161"/>
      <c r="G68" s="161"/>
      <c r="H68" s="162"/>
      <c r="I68" s="161"/>
      <c r="J68" s="163"/>
      <c r="K68" s="1"/>
      <c r="L68" s="321"/>
    </row>
    <row r="69" spans="1:12" x14ac:dyDescent="0.2">
      <c r="A69" s="6"/>
      <c r="B69" s="93" t="s">
        <v>16</v>
      </c>
      <c r="C69" s="94">
        <v>191637788</v>
      </c>
      <c r="D69" s="125">
        <f>C69</f>
        <v>191637788</v>
      </c>
      <c r="E69" s="29">
        <v>0</v>
      </c>
      <c r="F69" s="32">
        <f>18648412+18648412</f>
        <v>37296824</v>
      </c>
      <c r="G69" s="178">
        <v>2000000</v>
      </c>
      <c r="H69" s="40">
        <f>(G69+F69)/D69</f>
        <v>0.20505780415290537</v>
      </c>
      <c r="I69" s="22">
        <f>D69-E69-F69</f>
        <v>154340964</v>
      </c>
      <c r="J69" s="39">
        <f>I69/D69</f>
        <v>0.80537855091502097</v>
      </c>
      <c r="K69" s="1"/>
      <c r="L69" s="321"/>
    </row>
    <row r="70" spans="1:12" ht="13.5" thickBot="1" x14ac:dyDescent="0.25">
      <c r="A70" s="6"/>
      <c r="B70" s="126" t="s">
        <v>120</v>
      </c>
      <c r="C70" s="138">
        <v>2523330</v>
      </c>
      <c r="D70" s="127">
        <f>C70</f>
        <v>2523330</v>
      </c>
      <c r="E70" s="30">
        <v>0</v>
      </c>
      <c r="F70" s="57">
        <v>0</v>
      </c>
      <c r="G70" s="179">
        <v>0</v>
      </c>
      <c r="H70" s="46">
        <f t="shared" ref="H70:H71" si="14">(G70+F70)/D70</f>
        <v>0</v>
      </c>
      <c r="I70" s="23">
        <f>D70-E70-F70</f>
        <v>2523330</v>
      </c>
      <c r="J70" s="170">
        <f>I70/D70</f>
        <v>1</v>
      </c>
      <c r="K70" s="1"/>
      <c r="L70" s="321"/>
    </row>
    <row r="71" spans="1:12" ht="13.5" thickBot="1" x14ac:dyDescent="0.25">
      <c r="A71" s="6"/>
      <c r="B71" s="128" t="s">
        <v>8</v>
      </c>
      <c r="C71" s="118">
        <f t="shared" ref="C71" si="15">SUM(C69:C70)</f>
        <v>194161118</v>
      </c>
      <c r="D71" s="118">
        <f>SUM(D69:D70)</f>
        <v>194161118</v>
      </c>
      <c r="E71" s="175">
        <f t="shared" ref="E71:I71" si="16">SUM(E69:E70)</f>
        <v>0</v>
      </c>
      <c r="F71" s="102">
        <f t="shared" si="16"/>
        <v>37296824</v>
      </c>
      <c r="G71" s="175">
        <f t="shared" si="16"/>
        <v>2000000</v>
      </c>
      <c r="H71" s="184">
        <f t="shared" si="14"/>
        <v>0.20239286013999983</v>
      </c>
      <c r="I71" s="131">
        <f t="shared" si="16"/>
        <v>156864294</v>
      </c>
      <c r="J71" s="186">
        <f>I71/D71</f>
        <v>0.80790786340651377</v>
      </c>
      <c r="K71" s="1"/>
      <c r="L71" s="321"/>
    </row>
    <row r="72" spans="1:12" ht="13.5" thickBot="1" x14ac:dyDescent="0.25">
      <c r="A72" s="6"/>
      <c r="B72" s="114" t="s">
        <v>122</v>
      </c>
      <c r="C72" s="120"/>
      <c r="D72" s="86"/>
      <c r="E72" s="164"/>
      <c r="F72" s="164"/>
      <c r="G72" s="164"/>
      <c r="H72" s="162"/>
      <c r="I72" s="142"/>
      <c r="J72" s="163"/>
      <c r="K72" s="1"/>
      <c r="L72" s="321"/>
    </row>
    <row r="73" spans="1:12" x14ac:dyDescent="0.2">
      <c r="A73" s="6"/>
      <c r="B73" s="93" t="s">
        <v>17</v>
      </c>
      <c r="C73" s="94">
        <v>1968734663</v>
      </c>
      <c r="D73" s="125">
        <f>C73</f>
        <v>1968734663</v>
      </c>
      <c r="E73" s="45">
        <v>0</v>
      </c>
      <c r="F73" s="22">
        <v>100000000</v>
      </c>
      <c r="G73" s="178">
        <v>92621882.260000005</v>
      </c>
      <c r="H73" s="40">
        <f>(G73+F73)/D73</f>
        <v>9.784044842613715E-2</v>
      </c>
      <c r="I73" s="22">
        <f>D73-E73-F73</f>
        <v>1868734663</v>
      </c>
      <c r="J73" s="39">
        <f>I73/D73</f>
        <v>0.94920595350943948</v>
      </c>
      <c r="K73" s="1"/>
      <c r="L73" s="321"/>
    </row>
    <row r="74" spans="1:12" ht="13.5" thickBot="1" x14ac:dyDescent="0.25">
      <c r="A74" s="6"/>
      <c r="B74" s="122" t="s">
        <v>48</v>
      </c>
      <c r="C74" s="155">
        <v>40000000</v>
      </c>
      <c r="D74" s="218">
        <f>C74</f>
        <v>40000000</v>
      </c>
      <c r="E74" s="21">
        <v>0</v>
      </c>
      <c r="F74" s="21">
        <f>2000000+2274000</f>
        <v>4274000</v>
      </c>
      <c r="G74" s="42">
        <v>2000000</v>
      </c>
      <c r="H74" s="46">
        <f t="shared" ref="H74:H75" si="17">(G74+F74)/D74</f>
        <v>0.15684999999999999</v>
      </c>
      <c r="I74" s="23">
        <f>D74-E74-F74</f>
        <v>35726000</v>
      </c>
      <c r="J74" s="170">
        <f>I74/D74</f>
        <v>0.89315</v>
      </c>
      <c r="K74" s="1"/>
      <c r="L74" s="321"/>
    </row>
    <row r="75" spans="1:12" ht="13.5" thickBot="1" x14ac:dyDescent="0.25">
      <c r="A75" s="6"/>
      <c r="B75" s="114" t="s">
        <v>15</v>
      </c>
      <c r="C75" s="86">
        <f>SUM(C73:C74)</f>
        <v>2008734663</v>
      </c>
      <c r="D75" s="86">
        <f>SUM(D73:D74)</f>
        <v>2008734663</v>
      </c>
      <c r="E75" s="175">
        <f t="shared" ref="E75:G75" si="18">SUM(E73:E74)</f>
        <v>0</v>
      </c>
      <c r="F75" s="102">
        <f t="shared" si="18"/>
        <v>104274000</v>
      </c>
      <c r="G75" s="324">
        <f t="shared" si="18"/>
        <v>94621882.260000005</v>
      </c>
      <c r="H75" s="184">
        <f t="shared" si="17"/>
        <v>9.9015507584736692E-2</v>
      </c>
      <c r="I75" s="131">
        <f t="shared" ref="I75" si="19">SUM(I73:I74)</f>
        <v>1904460663</v>
      </c>
      <c r="J75" s="186">
        <f>I75/D75</f>
        <v>0.9480897094471058</v>
      </c>
      <c r="K75" s="1"/>
      <c r="L75" s="321"/>
    </row>
    <row r="76" spans="1:12" ht="13.5" thickBot="1" x14ac:dyDescent="0.25">
      <c r="A76" s="6"/>
      <c r="B76" s="128" t="s">
        <v>123</v>
      </c>
      <c r="C76" s="131"/>
      <c r="D76" s="118"/>
      <c r="E76" s="160"/>
      <c r="F76" s="160"/>
      <c r="G76" s="160"/>
      <c r="H76" s="56"/>
      <c r="I76" s="56"/>
      <c r="J76" s="56"/>
      <c r="K76" s="1"/>
      <c r="L76" s="321"/>
    </row>
    <row r="77" spans="1:12" x14ac:dyDescent="0.2">
      <c r="A77" s="6"/>
      <c r="B77" s="115" t="s">
        <v>124</v>
      </c>
      <c r="C77" s="95">
        <v>265000000</v>
      </c>
      <c r="D77" s="216">
        <f>C77</f>
        <v>265000000</v>
      </c>
      <c r="E77" s="45">
        <v>0</v>
      </c>
      <c r="F77" s="45">
        <v>0</v>
      </c>
      <c r="G77" s="178">
        <v>0</v>
      </c>
      <c r="H77" s="40">
        <f>(G77+F77)/D77</f>
        <v>0</v>
      </c>
      <c r="I77" s="22">
        <f>D77-E77-F77</f>
        <v>265000000</v>
      </c>
      <c r="J77" s="39">
        <f>I77/D77</f>
        <v>1</v>
      </c>
      <c r="K77" s="1"/>
      <c r="L77" s="321"/>
    </row>
    <row r="78" spans="1:12" ht="13.5" thickBot="1" x14ac:dyDescent="0.25">
      <c r="A78" s="6"/>
      <c r="B78" s="116" t="s">
        <v>125</v>
      </c>
      <c r="C78" s="171">
        <v>15900000</v>
      </c>
      <c r="D78" s="347">
        <f>C78</f>
        <v>15900000</v>
      </c>
      <c r="E78" s="31">
        <v>0</v>
      </c>
      <c r="F78" s="31">
        <v>0</v>
      </c>
      <c r="G78" s="179">
        <v>0</v>
      </c>
      <c r="H78" s="46">
        <f t="shared" ref="H78:H79" si="20">(G78+F78)/D78</f>
        <v>0</v>
      </c>
      <c r="I78" s="23">
        <f>D78-E78-F78</f>
        <v>15900000</v>
      </c>
      <c r="J78" s="170">
        <f>I78/D78</f>
        <v>1</v>
      </c>
      <c r="K78" s="1"/>
      <c r="L78" s="321"/>
    </row>
    <row r="79" spans="1:12" ht="13.5" thickBot="1" x14ac:dyDescent="0.25">
      <c r="A79" s="6"/>
      <c r="B79" s="128" t="s">
        <v>8</v>
      </c>
      <c r="C79" s="130">
        <f t="shared" ref="C79" si="21">SUM(C77:C78)</f>
        <v>280900000</v>
      </c>
      <c r="D79" s="130">
        <f>SUM(D77:D78)</f>
        <v>280900000</v>
      </c>
      <c r="E79" s="174">
        <f t="shared" ref="E79:G79" si="22">SUM(E77:E78)</f>
        <v>0</v>
      </c>
      <c r="F79" s="174">
        <f t="shared" si="22"/>
        <v>0</v>
      </c>
      <c r="G79" s="166">
        <f t="shared" si="22"/>
        <v>0</v>
      </c>
      <c r="H79" s="184">
        <f t="shared" si="20"/>
        <v>0</v>
      </c>
      <c r="I79" s="131">
        <f t="shared" ref="I79" si="23">SUM(I77:I78)</f>
        <v>280900000</v>
      </c>
      <c r="J79" s="186">
        <f>I79/D79</f>
        <v>1</v>
      </c>
      <c r="K79" s="1"/>
      <c r="L79" s="321"/>
    </row>
    <row r="80" spans="1:12" ht="13.5" thickBot="1" x14ac:dyDescent="0.25">
      <c r="A80" s="6"/>
      <c r="B80" s="132" t="s">
        <v>18</v>
      </c>
      <c r="C80" s="130">
        <f t="shared" ref="C80:J80" si="24">C37+C67+C71+C75+C79</f>
        <v>7555228867</v>
      </c>
      <c r="D80" s="130">
        <f t="shared" si="24"/>
        <v>7555228867</v>
      </c>
      <c r="E80" s="133">
        <f t="shared" si="24"/>
        <v>64858000</v>
      </c>
      <c r="F80" s="130">
        <f t="shared" si="24"/>
        <v>1426273764.1199999</v>
      </c>
      <c r="G80" s="130">
        <f t="shared" si="24"/>
        <v>511531099.38</v>
      </c>
      <c r="H80" s="130">
        <f t="shared" si="24"/>
        <v>0.93469043913454908</v>
      </c>
      <c r="I80" s="130">
        <f t="shared" si="24"/>
        <v>6064097102.8800001</v>
      </c>
      <c r="J80" s="130">
        <f t="shared" si="24"/>
        <v>4.2375879518234338</v>
      </c>
      <c r="K80" s="1"/>
      <c r="L80" s="321"/>
    </row>
    <row r="81" spans="1:12" ht="13.5" thickBot="1" x14ac:dyDescent="0.25">
      <c r="A81" s="7"/>
      <c r="B81" s="168"/>
      <c r="C81" s="192"/>
      <c r="D81" s="192"/>
      <c r="E81" s="192"/>
      <c r="F81" s="2">
        <f>F80-'Enero-2025'!F80</f>
        <v>412470988.45999992</v>
      </c>
      <c r="G81" s="2"/>
      <c r="H81" s="8"/>
      <c r="I81" s="415">
        <f>I80-6064097102.88</f>
        <v>0</v>
      </c>
      <c r="J81" s="8"/>
      <c r="K81" s="3"/>
      <c r="L81" s="321"/>
    </row>
    <row r="82" spans="1:12" x14ac:dyDescent="0.2">
      <c r="B82" s="24"/>
      <c r="C82" s="323"/>
      <c r="D82" s="323"/>
      <c r="E82" s="321"/>
      <c r="F82" s="417">
        <f>F81-412867991.46</f>
        <v>-397003.0000000596</v>
      </c>
      <c r="G82" s="321"/>
      <c r="H82" s="321"/>
      <c r="I82" s="321"/>
      <c r="J82" s="321"/>
      <c r="K82" s="26"/>
      <c r="L82" s="321"/>
    </row>
    <row r="83" spans="1:12" x14ac:dyDescent="0.2">
      <c r="B83" s="24"/>
      <c r="C83" s="323"/>
      <c r="D83" s="323"/>
      <c r="K83" s="26"/>
      <c r="L83" s="321"/>
    </row>
    <row r="84" spans="1:12" x14ac:dyDescent="0.2">
      <c r="B84" s="4" t="s">
        <v>336</v>
      </c>
      <c r="C84" s="323"/>
      <c r="D84" s="323"/>
      <c r="F84" s="405"/>
      <c r="K84" s="26"/>
    </row>
    <row r="85" spans="1:12" x14ac:dyDescent="0.2">
      <c r="B85" s="189"/>
      <c r="C85" s="323"/>
      <c r="D85" s="406"/>
      <c r="K85" s="26"/>
    </row>
    <row r="86" spans="1:12" x14ac:dyDescent="0.2">
      <c r="B86" s="189"/>
      <c r="C86" s="323"/>
      <c r="D86" s="323"/>
      <c r="K86" s="26"/>
    </row>
    <row r="87" spans="1:12" x14ac:dyDescent="0.2">
      <c r="B87" s="15"/>
      <c r="K87" s="26"/>
    </row>
    <row r="88" spans="1:12" ht="15.75" thickBot="1" x14ac:dyDescent="0.25">
      <c r="B88" s="52"/>
      <c r="D88" s="14"/>
      <c r="E88" s="320"/>
      <c r="F88" s="14"/>
      <c r="K88" s="26"/>
    </row>
    <row r="89" spans="1:12" x14ac:dyDescent="0.2">
      <c r="B89" s="4" t="s">
        <v>318</v>
      </c>
      <c r="C89" s="343"/>
      <c r="D89" s="358" t="s">
        <v>305</v>
      </c>
      <c r="E89" s="319"/>
      <c r="K89" s="26"/>
    </row>
    <row r="90" spans="1:12" x14ac:dyDescent="0.2">
      <c r="B90" s="104" t="s">
        <v>319</v>
      </c>
      <c r="C90" s="343"/>
      <c r="D90" s="357" t="s">
        <v>307</v>
      </c>
      <c r="E90" s="135"/>
      <c r="K90" s="26"/>
    </row>
    <row r="91" spans="1:12" x14ac:dyDescent="0.2">
      <c r="B91" s="15"/>
      <c r="I91" s="407">
        <f>E80+F80</f>
        <v>1491131764.1199999</v>
      </c>
      <c r="K91" s="26"/>
    </row>
    <row r="92" spans="1:12" ht="13.5" thickBot="1" x14ac:dyDescent="0.25">
      <c r="B92" s="191" t="s">
        <v>301</v>
      </c>
      <c r="C92" s="72"/>
      <c r="D92" s="14"/>
      <c r="E92" s="14"/>
      <c r="F92" s="14"/>
      <c r="G92" s="14"/>
      <c r="H92" s="14"/>
      <c r="I92" s="14"/>
      <c r="J92" s="14"/>
      <c r="K92" s="18"/>
    </row>
  </sheetData>
  <mergeCells count="2">
    <mergeCell ref="B3:J3"/>
    <mergeCell ref="B4:J4"/>
  </mergeCells>
  <pageMargins left="0.68" right="0.27559055118110237" top="1.4960629921259843" bottom="0.98425196850393704" header="0.55118110236220474" footer="0"/>
  <pageSetup paperSize="5" scale="60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E615-3E1A-479A-89F2-FD1327AB23D1}">
  <sheetPr>
    <tabColor theme="0"/>
  </sheetPr>
  <dimension ref="A1:N92"/>
  <sheetViews>
    <sheetView tabSelected="1" workbookViewId="0"/>
  </sheetViews>
  <sheetFormatPr baseColWidth="10" defaultColWidth="8.85546875" defaultRowHeight="12.75" x14ac:dyDescent="0.2"/>
  <cols>
    <col min="1" max="1" width="0.140625" customWidth="1"/>
    <col min="2" max="2" width="34.140625" customWidth="1"/>
    <col min="3" max="3" width="18.5703125" customWidth="1"/>
    <col min="4" max="4" width="18.85546875" customWidth="1"/>
    <col min="5" max="5" width="16.28515625" customWidth="1"/>
    <col min="6" max="6" width="17.7109375" customWidth="1"/>
    <col min="7" max="7" width="16.5703125" customWidth="1"/>
    <col min="8" max="8" width="9" customWidth="1"/>
    <col min="9" max="9" width="17.85546875" customWidth="1"/>
    <col min="10" max="10" width="8.42578125" customWidth="1"/>
    <col min="11" max="11" width="1.140625" customWidth="1"/>
    <col min="12" max="12" width="16.5703125" bestFit="1" customWidth="1"/>
    <col min="13" max="256" width="11.42578125" customWidth="1"/>
  </cols>
  <sheetData>
    <row r="1" spans="1:11" x14ac:dyDescent="0.2">
      <c r="A1" s="9"/>
      <c r="B1" s="9"/>
      <c r="C1" s="10"/>
      <c r="D1" s="10"/>
      <c r="E1" s="10"/>
      <c r="F1" s="10"/>
      <c r="G1" s="10"/>
      <c r="H1" s="11"/>
      <c r="I1" s="11"/>
      <c r="J1" s="11"/>
      <c r="K1" s="12"/>
    </row>
    <row r="2" spans="1:11" ht="13.5" thickBot="1" x14ac:dyDescent="0.25">
      <c r="A2" s="6"/>
      <c r="B2" s="6"/>
      <c r="C2" s="160"/>
      <c r="D2" s="160"/>
      <c r="E2" s="160"/>
      <c r="F2" s="160"/>
      <c r="G2" s="160"/>
      <c r="H2" s="56"/>
      <c r="I2" s="56"/>
      <c r="J2" s="56"/>
      <c r="K2" s="1"/>
    </row>
    <row r="3" spans="1:11" x14ac:dyDescent="0.2">
      <c r="A3" s="4"/>
      <c r="B3" s="469" t="s">
        <v>343</v>
      </c>
      <c r="C3" s="470"/>
      <c r="D3" s="470"/>
      <c r="E3" s="470"/>
      <c r="F3" s="470"/>
      <c r="G3" s="470"/>
      <c r="H3" s="470"/>
      <c r="I3" s="470"/>
      <c r="J3" s="471"/>
      <c r="K3" s="5"/>
    </row>
    <row r="4" spans="1:11" ht="13.5" thickBot="1" x14ac:dyDescent="0.25">
      <c r="A4" s="4"/>
      <c r="B4" s="472" t="s">
        <v>342</v>
      </c>
      <c r="C4" s="473"/>
      <c r="D4" s="473"/>
      <c r="E4" s="473"/>
      <c r="F4" s="473"/>
      <c r="G4" s="473"/>
      <c r="H4" s="473"/>
      <c r="I4" s="473"/>
      <c r="J4" s="474"/>
      <c r="K4" s="5"/>
    </row>
    <row r="5" spans="1:11" x14ac:dyDescent="0.2">
      <c r="A5" s="6"/>
      <c r="B5" s="6"/>
      <c r="C5" s="160" t="s">
        <v>29</v>
      </c>
      <c r="D5" s="160"/>
      <c r="E5" s="160"/>
      <c r="F5" s="160"/>
      <c r="G5" s="160"/>
      <c r="H5" s="56"/>
      <c r="I5" s="56"/>
      <c r="J5" s="1"/>
      <c r="K5" s="1"/>
    </row>
    <row r="6" spans="1:11" ht="13.5" thickBot="1" x14ac:dyDescent="0.25">
      <c r="A6" s="4"/>
      <c r="B6" s="38"/>
      <c r="C6" s="33"/>
      <c r="D6" s="33"/>
      <c r="E6" s="35"/>
      <c r="F6" s="33"/>
      <c r="G6" s="33"/>
      <c r="H6" s="34" t="s">
        <v>30</v>
      </c>
      <c r="I6" s="35"/>
      <c r="J6" s="36" t="s">
        <v>30</v>
      </c>
      <c r="K6" s="5"/>
    </row>
    <row r="7" spans="1:11" ht="13.5" thickBot="1" x14ac:dyDescent="0.25">
      <c r="A7" s="4"/>
      <c r="B7" s="78" t="s">
        <v>1</v>
      </c>
      <c r="C7" s="79" t="s">
        <v>2</v>
      </c>
      <c r="D7" s="79" t="s">
        <v>31</v>
      </c>
      <c r="E7" s="37" t="s">
        <v>127</v>
      </c>
      <c r="F7" s="19" t="s">
        <v>32</v>
      </c>
      <c r="G7" s="19" t="s">
        <v>49</v>
      </c>
      <c r="H7" s="19" t="s">
        <v>33</v>
      </c>
      <c r="I7" s="19" t="s">
        <v>34</v>
      </c>
      <c r="J7" s="19" t="s">
        <v>35</v>
      </c>
      <c r="K7" s="5"/>
    </row>
    <row r="8" spans="1:11" x14ac:dyDescent="0.2">
      <c r="A8" s="6"/>
      <c r="B8" s="82"/>
      <c r="C8" s="83"/>
      <c r="D8" s="84"/>
      <c r="E8" s="11"/>
      <c r="F8" s="10"/>
      <c r="G8" s="10"/>
      <c r="H8" s="11"/>
      <c r="I8" s="11"/>
      <c r="J8" s="12"/>
      <c r="K8" s="1"/>
    </row>
    <row r="9" spans="1:11" x14ac:dyDescent="0.2">
      <c r="A9" s="4"/>
      <c r="B9" s="85" t="s">
        <v>36</v>
      </c>
      <c r="C9" s="86"/>
      <c r="D9" s="154"/>
      <c r="E9" s="167"/>
      <c r="F9" s="142"/>
      <c r="G9" s="142"/>
      <c r="H9" s="167"/>
      <c r="J9" s="5"/>
      <c r="K9" s="5"/>
    </row>
    <row r="10" spans="1:11" ht="13.5" thickBot="1" x14ac:dyDescent="0.25">
      <c r="A10" s="6"/>
      <c r="B10" s="88" t="s">
        <v>37</v>
      </c>
      <c r="C10" s="89" t="s">
        <v>38</v>
      </c>
      <c r="D10" s="90" t="s">
        <v>38</v>
      </c>
      <c r="E10" s="56"/>
      <c r="F10" s="160"/>
      <c r="G10" s="160" t="s">
        <v>39</v>
      </c>
      <c r="H10" s="56"/>
      <c r="I10" s="56" t="s">
        <v>40</v>
      </c>
      <c r="J10" s="1"/>
      <c r="K10" s="1"/>
    </row>
    <row r="11" spans="1:11" x14ac:dyDescent="0.2">
      <c r="A11" s="6"/>
      <c r="B11" s="409" t="s">
        <v>84</v>
      </c>
      <c r="C11" s="94"/>
      <c r="D11" s="94"/>
      <c r="E11" s="22"/>
      <c r="F11" s="22"/>
      <c r="G11" s="22"/>
      <c r="H11" s="43"/>
      <c r="I11" s="22"/>
      <c r="J11" s="39"/>
      <c r="K11" s="1"/>
    </row>
    <row r="12" spans="1:11" x14ac:dyDescent="0.2">
      <c r="A12" s="6"/>
      <c r="B12" s="410" t="s">
        <v>56</v>
      </c>
      <c r="C12" s="351">
        <v>3745228867</v>
      </c>
      <c r="D12" s="351">
        <f>C12</f>
        <v>3745228867</v>
      </c>
      <c r="E12" s="408"/>
      <c r="F12" s="408"/>
      <c r="G12" s="180">
        <f>199736115+291264437+203724794</f>
        <v>694725346</v>
      </c>
      <c r="H12" s="44">
        <f t="shared" ref="H12:H14" si="0">G12/D12</f>
        <v>0.18549609934959416</v>
      </c>
      <c r="I12" s="23">
        <f t="shared" ref="I12:I14" si="1">D12-G12</f>
        <v>3050503521</v>
      </c>
      <c r="J12" s="169">
        <f t="shared" ref="J12:J14" si="2">I12/D12</f>
        <v>0.81450390065040579</v>
      </c>
      <c r="K12" s="1"/>
    </row>
    <row r="13" spans="1:11" x14ac:dyDescent="0.2">
      <c r="A13" s="6"/>
      <c r="B13" s="410" t="s">
        <v>321</v>
      </c>
      <c r="C13" s="351">
        <v>10000000</v>
      </c>
      <c r="D13" s="351">
        <f t="shared" ref="D13:D15" si="3">C13</f>
        <v>10000000</v>
      </c>
      <c r="E13" s="408"/>
      <c r="F13" s="408"/>
      <c r="G13" s="180">
        <f>3822652+3514564+1379510</f>
        <v>8716726</v>
      </c>
      <c r="H13" s="44">
        <f t="shared" si="0"/>
        <v>0.87167260000000002</v>
      </c>
      <c r="I13" s="23">
        <f t="shared" si="1"/>
        <v>1283274</v>
      </c>
      <c r="J13" s="169">
        <f t="shared" si="2"/>
        <v>0.12832740000000001</v>
      </c>
      <c r="K13" s="1"/>
    </row>
    <row r="14" spans="1:11" x14ac:dyDescent="0.2">
      <c r="A14" s="6"/>
      <c r="B14" s="410" t="s">
        <v>322</v>
      </c>
      <c r="C14" s="351">
        <v>3240000000</v>
      </c>
      <c r="D14" s="351">
        <f t="shared" si="3"/>
        <v>3240000000</v>
      </c>
      <c r="E14" s="408"/>
      <c r="F14" s="408"/>
      <c r="G14" s="180">
        <f>94656774.79+94343205.48+70408695.28</f>
        <v>259408675.55000001</v>
      </c>
      <c r="H14" s="44">
        <f t="shared" si="0"/>
        <v>8.0064406033950625E-2</v>
      </c>
      <c r="I14" s="23">
        <f t="shared" si="1"/>
        <v>2980591324.4499998</v>
      </c>
      <c r="J14" s="169">
        <f t="shared" si="2"/>
        <v>0.91993559396604929</v>
      </c>
      <c r="K14" s="1"/>
    </row>
    <row r="15" spans="1:11" ht="13.5" thickBot="1" x14ac:dyDescent="0.25">
      <c r="A15" s="6"/>
      <c r="B15" s="411" t="s">
        <v>83</v>
      </c>
      <c r="C15" s="355">
        <v>560000000</v>
      </c>
      <c r="D15" s="351">
        <f t="shared" si="3"/>
        <v>560000000</v>
      </c>
      <c r="E15" s="23">
        <v>0</v>
      </c>
      <c r="F15" s="23">
        <v>0</v>
      </c>
      <c r="G15" s="412">
        <f>34524898.8+32604570+30729470</f>
        <v>97858938.799999997</v>
      </c>
      <c r="H15" s="413">
        <f>G15/D15</f>
        <v>0.17474810499999999</v>
      </c>
      <c r="I15" s="23">
        <f>D15-G15</f>
        <v>462141061.19999999</v>
      </c>
      <c r="J15" s="169">
        <f>I15/D15</f>
        <v>0.82525189499999996</v>
      </c>
      <c r="K15" s="1"/>
    </row>
    <row r="16" spans="1:11" ht="13.5" thickBot="1" x14ac:dyDescent="0.25">
      <c r="A16" s="6"/>
      <c r="B16" s="117" t="s">
        <v>3</v>
      </c>
      <c r="C16" s="118">
        <f>SUM(C11:C15)</f>
        <v>7555228867</v>
      </c>
      <c r="D16" s="165">
        <f>SUM(D11:D15)</f>
        <v>7555228867</v>
      </c>
      <c r="E16" s="365">
        <f>SUM(E11:E15)</f>
        <v>0</v>
      </c>
      <c r="F16" s="365">
        <f>SUM(F11:F15)</f>
        <v>0</v>
      </c>
      <c r="G16" s="165">
        <f>SUM(G12:G15)</f>
        <v>1060709686.3499999</v>
      </c>
      <c r="H16" s="414">
        <f>G16/D16</f>
        <v>0.14039411711046978</v>
      </c>
      <c r="I16" s="366">
        <f>SUM(I11:I15)</f>
        <v>6494519180.6499996</v>
      </c>
      <c r="J16" s="183">
        <f>I16/D16</f>
        <v>0.8596058828895301</v>
      </c>
      <c r="K16" s="1"/>
    </row>
    <row r="17" spans="1:12" ht="13.5" thickBot="1" x14ac:dyDescent="0.25">
      <c r="A17" s="6"/>
      <c r="B17" s="104"/>
      <c r="C17" s="83"/>
      <c r="D17" s="105"/>
      <c r="E17" s="161"/>
      <c r="F17" s="161"/>
      <c r="G17" s="161"/>
      <c r="H17" s="162"/>
      <c r="I17" s="161"/>
      <c r="J17" s="163"/>
      <c r="K17" s="1"/>
    </row>
    <row r="18" spans="1:12" ht="13.5" thickBot="1" x14ac:dyDescent="0.25">
      <c r="A18" s="4"/>
      <c r="B18" s="107" t="s">
        <v>4</v>
      </c>
      <c r="C18" s="86"/>
      <c r="D18" s="108"/>
      <c r="E18" s="164"/>
      <c r="F18" s="164"/>
      <c r="G18" s="188" t="s">
        <v>50</v>
      </c>
      <c r="H18" s="162"/>
      <c r="I18" s="164"/>
      <c r="J18" s="163"/>
      <c r="K18" s="5"/>
    </row>
    <row r="19" spans="1:12" ht="13.5" thickBot="1" x14ac:dyDescent="0.25">
      <c r="A19" s="6"/>
      <c r="B19" s="110" t="s">
        <v>126</v>
      </c>
      <c r="C19" s="111" t="s">
        <v>41</v>
      </c>
      <c r="D19" s="91" t="s">
        <v>41</v>
      </c>
      <c r="E19" s="160" t="s">
        <v>44</v>
      </c>
      <c r="F19" s="160" t="s">
        <v>43</v>
      </c>
      <c r="G19" s="160" t="s">
        <v>42</v>
      </c>
      <c r="H19" s="56"/>
      <c r="I19" s="160" t="s">
        <v>45</v>
      </c>
      <c r="J19" s="26"/>
      <c r="K19" s="1"/>
    </row>
    <row r="20" spans="1:12" x14ac:dyDescent="0.2">
      <c r="A20" s="4"/>
      <c r="B20" s="93" t="s">
        <v>85</v>
      </c>
      <c r="C20" s="94">
        <v>1613616502</v>
      </c>
      <c r="D20" s="94">
        <f>C20</f>
        <v>1613616502</v>
      </c>
      <c r="E20" s="322">
        <v>0</v>
      </c>
      <c r="F20" s="178">
        <f>121142380+121142380+121142380</f>
        <v>363427140</v>
      </c>
      <c r="G20" s="20">
        <v>363427140</v>
      </c>
      <c r="H20" s="40">
        <f>(G20+F20)/D20</f>
        <v>0.45045045033878811</v>
      </c>
      <c r="I20" s="20">
        <f>D20-E20-F20</f>
        <v>1250189362</v>
      </c>
      <c r="J20" s="39">
        <f t="shared" ref="J20:J37" si="4">I20/D20</f>
        <v>0.77477477483060597</v>
      </c>
      <c r="K20" s="5"/>
      <c r="L20" s="321"/>
    </row>
    <row r="21" spans="1:12" x14ac:dyDescent="0.2">
      <c r="A21" s="6"/>
      <c r="B21" s="98" t="s">
        <v>86</v>
      </c>
      <c r="C21" s="172">
        <v>71156006</v>
      </c>
      <c r="D21" s="99">
        <f>C21</f>
        <v>71156006</v>
      </c>
      <c r="E21" s="23">
        <v>0</v>
      </c>
      <c r="F21" s="176">
        <f>14044010+14044010</f>
        <v>28088020</v>
      </c>
      <c r="G21" s="27">
        <v>0</v>
      </c>
      <c r="H21" s="41">
        <f>(G21+F21)/D21</f>
        <v>0.39473856922211176</v>
      </c>
      <c r="I21" s="27">
        <f>+D21-E21-F21</f>
        <v>43067986</v>
      </c>
      <c r="J21" s="169">
        <f t="shared" si="4"/>
        <v>0.60526143077788819</v>
      </c>
      <c r="K21" s="1"/>
      <c r="L21" s="321"/>
    </row>
    <row r="22" spans="1:12" x14ac:dyDescent="0.2">
      <c r="A22" s="6"/>
      <c r="B22" s="98" t="s">
        <v>87</v>
      </c>
      <c r="C22" s="172">
        <v>47063815</v>
      </c>
      <c r="D22" s="99">
        <f t="shared" ref="D22:D36" si="5">C22</f>
        <v>47063815</v>
      </c>
      <c r="E22" s="23">
        <v>0</v>
      </c>
      <c r="F22" s="17">
        <f>18660883-107228</f>
        <v>18553655</v>
      </c>
      <c r="G22" s="23">
        <v>10920202</v>
      </c>
      <c r="H22" s="41">
        <f t="shared" ref="H22:H37" si="6">(G22+F22)/D22</f>
        <v>0.62625303537335419</v>
      </c>
      <c r="I22" s="27">
        <f t="shared" ref="I22:I36" si="7">+D22-E22-F22</f>
        <v>28510160</v>
      </c>
      <c r="J22" s="169">
        <f t="shared" si="4"/>
        <v>0.60577664602837655</v>
      </c>
      <c r="K22" s="1"/>
      <c r="L22" s="321">
        <f>I22-28510160</f>
        <v>0</v>
      </c>
    </row>
    <row r="23" spans="1:12" x14ac:dyDescent="0.2">
      <c r="A23" s="6"/>
      <c r="B23" s="98" t="s">
        <v>6</v>
      </c>
      <c r="C23" s="172">
        <v>152897470</v>
      </c>
      <c r="D23" s="99">
        <f t="shared" si="5"/>
        <v>152897470</v>
      </c>
      <c r="E23" s="23">
        <v>0</v>
      </c>
      <c r="F23" s="17">
        <f>12574338+12574331+12574331</f>
        <v>37723000</v>
      </c>
      <c r="G23" s="23">
        <v>0</v>
      </c>
      <c r="H23" s="41">
        <f t="shared" si="6"/>
        <v>0.24672089080349074</v>
      </c>
      <c r="I23" s="27">
        <f t="shared" si="7"/>
        <v>115174470</v>
      </c>
      <c r="J23" s="169">
        <f t="shared" si="4"/>
        <v>0.75327910919650931</v>
      </c>
      <c r="K23" s="1"/>
      <c r="L23" s="321"/>
    </row>
    <row r="24" spans="1:12" x14ac:dyDescent="0.2">
      <c r="A24" s="6"/>
      <c r="B24" s="98" t="s">
        <v>5</v>
      </c>
      <c r="C24" s="172">
        <v>79384392</v>
      </c>
      <c r="D24" s="99">
        <f t="shared" si="5"/>
        <v>79384392</v>
      </c>
      <c r="E24" s="23">
        <v>0</v>
      </c>
      <c r="F24" s="17">
        <f>31552420-289775</f>
        <v>31262645</v>
      </c>
      <c r="G24" s="23">
        <v>18592992</v>
      </c>
      <c r="H24" s="41">
        <f t="shared" si="6"/>
        <v>0.62802820231967005</v>
      </c>
      <c r="I24" s="27">
        <f t="shared" si="7"/>
        <v>48121747</v>
      </c>
      <c r="J24" s="169">
        <f t="shared" si="4"/>
        <v>0.60618650326124557</v>
      </c>
      <c r="K24" s="1"/>
      <c r="L24" s="321">
        <f>I24-48121747</f>
        <v>0</v>
      </c>
    </row>
    <row r="25" spans="1:12" x14ac:dyDescent="0.2">
      <c r="A25" s="6"/>
      <c r="B25" s="98" t="s">
        <v>88</v>
      </c>
      <c r="C25" s="172">
        <v>23548917</v>
      </c>
      <c r="D25" s="99">
        <f t="shared" si="5"/>
        <v>23548917</v>
      </c>
      <c r="E25" s="23">
        <v>0</v>
      </c>
      <c r="F25" s="17">
        <f>14439693+4089264+646901</f>
        <v>19175858</v>
      </c>
      <c r="G25" s="23">
        <v>16552885</v>
      </c>
      <c r="H25" s="41">
        <f t="shared" si="6"/>
        <v>1.5172138489426075</v>
      </c>
      <c r="I25" s="27">
        <f t="shared" si="7"/>
        <v>4373059</v>
      </c>
      <c r="J25" s="169">
        <f t="shared" si="4"/>
        <v>0.18570106642271489</v>
      </c>
      <c r="K25" s="1"/>
      <c r="L25" s="321"/>
    </row>
    <row r="26" spans="1:12" x14ac:dyDescent="0.2">
      <c r="A26" s="6"/>
      <c r="B26" s="98" t="s">
        <v>90</v>
      </c>
      <c r="C26" s="172">
        <v>202107508</v>
      </c>
      <c r="D26" s="99">
        <f t="shared" si="5"/>
        <v>202107508</v>
      </c>
      <c r="E26" s="23">
        <v>0</v>
      </c>
      <c r="F26" s="17">
        <f>14373203+14479876+12287785</f>
        <v>41140864</v>
      </c>
      <c r="G26" s="23">
        <v>28853079</v>
      </c>
      <c r="H26" s="41">
        <f t="shared" si="6"/>
        <v>0.34632035045427406</v>
      </c>
      <c r="I26" s="27">
        <f t="shared" si="7"/>
        <v>160966644</v>
      </c>
      <c r="J26" s="169">
        <f t="shared" si="4"/>
        <v>0.79644069432591291</v>
      </c>
      <c r="K26" s="1"/>
      <c r="L26" s="321"/>
    </row>
    <row r="27" spans="1:12" x14ac:dyDescent="0.2">
      <c r="A27" s="6"/>
      <c r="B27" s="98" t="s">
        <v>89</v>
      </c>
      <c r="C27" s="172">
        <v>143159485</v>
      </c>
      <c r="D27" s="99">
        <f t="shared" si="5"/>
        <v>143159485</v>
      </c>
      <c r="E27" s="23">
        <v>0</v>
      </c>
      <c r="F27" s="17">
        <f>11903138+12046111+11021968</f>
        <v>34971217</v>
      </c>
      <c r="G27" s="23">
        <v>23949249</v>
      </c>
      <c r="H27" s="41">
        <f t="shared" si="6"/>
        <v>0.41157221262705718</v>
      </c>
      <c r="I27" s="27">
        <f t="shared" si="7"/>
        <v>108188268</v>
      </c>
      <c r="J27" s="169">
        <f t="shared" si="4"/>
        <v>0.75571847719346019</v>
      </c>
      <c r="K27" s="1"/>
      <c r="L27" s="321"/>
    </row>
    <row r="28" spans="1:12" x14ac:dyDescent="0.2">
      <c r="A28" s="6"/>
      <c r="B28" s="98" t="s">
        <v>46</v>
      </c>
      <c r="C28" s="172">
        <v>16996535</v>
      </c>
      <c r="D28" s="99">
        <f t="shared" si="5"/>
        <v>16996535</v>
      </c>
      <c r="E28" s="23">
        <v>0</v>
      </c>
      <c r="F28" s="17">
        <f>1397809+1397809+1397809</f>
        <v>4193427</v>
      </c>
      <c r="G28" s="23">
        <v>0</v>
      </c>
      <c r="H28" s="41">
        <f t="shared" si="6"/>
        <v>0.2467224643140499</v>
      </c>
      <c r="I28" s="27">
        <f t="shared" si="7"/>
        <v>12803108</v>
      </c>
      <c r="J28" s="169">
        <f t="shared" si="4"/>
        <v>0.75327753568595013</v>
      </c>
      <c r="K28" s="1"/>
      <c r="L28" s="321"/>
    </row>
    <row r="29" spans="1:12" x14ac:dyDescent="0.2">
      <c r="A29" s="6"/>
      <c r="B29" s="98" t="s">
        <v>91</v>
      </c>
      <c r="C29" s="172">
        <v>74911367</v>
      </c>
      <c r="D29" s="99">
        <f t="shared" si="5"/>
        <v>74911367</v>
      </c>
      <c r="E29" s="23">
        <v>0</v>
      </c>
      <c r="F29" s="17">
        <f>6151900+6309900+5743200</f>
        <v>18205000</v>
      </c>
      <c r="G29" s="23">
        <v>12461800</v>
      </c>
      <c r="H29" s="41">
        <f t="shared" si="6"/>
        <v>0.40937445448031939</v>
      </c>
      <c r="I29" s="27">
        <f t="shared" si="7"/>
        <v>56706367</v>
      </c>
      <c r="J29" s="169">
        <f t="shared" si="4"/>
        <v>0.75697947148661693</v>
      </c>
      <c r="K29" s="1"/>
      <c r="L29" s="321"/>
    </row>
    <row r="30" spans="1:12" ht="18.75" x14ac:dyDescent="0.2">
      <c r="A30" s="6"/>
      <c r="B30" s="325" t="s">
        <v>92</v>
      </c>
      <c r="C30" s="172">
        <v>8791677</v>
      </c>
      <c r="D30" s="99">
        <f t="shared" si="5"/>
        <v>8791677</v>
      </c>
      <c r="E30" s="23">
        <v>0</v>
      </c>
      <c r="F30" s="17">
        <f>777200+794900+713700</f>
        <v>2285800</v>
      </c>
      <c r="G30" s="23">
        <v>1572100</v>
      </c>
      <c r="H30" s="41">
        <f t="shared" si="6"/>
        <v>0.43881275438121758</v>
      </c>
      <c r="I30" s="27">
        <f t="shared" si="7"/>
        <v>6505877</v>
      </c>
      <c r="J30" s="169">
        <f t="shared" si="4"/>
        <v>0.74000409705679593</v>
      </c>
      <c r="K30" s="1"/>
      <c r="L30" s="321"/>
    </row>
    <row r="31" spans="1:12" x14ac:dyDescent="0.2">
      <c r="A31" s="6"/>
      <c r="B31" s="98" t="s">
        <v>93</v>
      </c>
      <c r="C31" s="172">
        <v>56183525</v>
      </c>
      <c r="D31" s="99">
        <f t="shared" si="5"/>
        <v>56183525</v>
      </c>
      <c r="E31" s="23">
        <v>0</v>
      </c>
      <c r="F31" s="17">
        <f>4614200+4732700+4307800</f>
        <v>13654700</v>
      </c>
      <c r="G31" s="23">
        <v>9346900</v>
      </c>
      <c r="H31" s="41">
        <f t="shared" si="6"/>
        <v>0.40940115451994158</v>
      </c>
      <c r="I31" s="27">
        <f t="shared" si="7"/>
        <v>42528825</v>
      </c>
      <c r="J31" s="169">
        <f t="shared" si="4"/>
        <v>0.75696256153383046</v>
      </c>
      <c r="K31" s="1"/>
      <c r="L31" s="321"/>
    </row>
    <row r="32" spans="1:12" x14ac:dyDescent="0.2">
      <c r="A32" s="6"/>
      <c r="B32" s="98" t="s">
        <v>94</v>
      </c>
      <c r="C32" s="172">
        <v>37455684</v>
      </c>
      <c r="D32" s="99">
        <f t="shared" si="5"/>
        <v>37455684</v>
      </c>
      <c r="E32" s="23">
        <v>0</v>
      </c>
      <c r="F32" s="17">
        <f>3076400+3155400+2872000</f>
        <v>9103800</v>
      </c>
      <c r="G32" s="23">
        <v>6231800</v>
      </c>
      <c r="H32" s="41">
        <f t="shared" si="6"/>
        <v>0.40943318509415022</v>
      </c>
      <c r="I32" s="27">
        <f t="shared" si="7"/>
        <v>28351884</v>
      </c>
      <c r="J32" s="169">
        <f t="shared" si="4"/>
        <v>0.75694476704790659</v>
      </c>
      <c r="K32" s="1"/>
      <c r="L32" s="321"/>
    </row>
    <row r="33" spans="1:14" x14ac:dyDescent="0.2">
      <c r="A33" s="6"/>
      <c r="B33" s="98" t="s">
        <v>7</v>
      </c>
      <c r="C33" s="99">
        <v>38014534</v>
      </c>
      <c r="D33" s="99">
        <f t="shared" si="5"/>
        <v>38014534</v>
      </c>
      <c r="E33" s="23">
        <v>0</v>
      </c>
      <c r="F33" s="17">
        <v>0</v>
      </c>
      <c r="G33" s="23">
        <v>0</v>
      </c>
      <c r="H33" s="41">
        <f t="shared" si="6"/>
        <v>0</v>
      </c>
      <c r="I33" s="27">
        <f t="shared" si="7"/>
        <v>38014534</v>
      </c>
      <c r="J33" s="169">
        <f t="shared" si="4"/>
        <v>1</v>
      </c>
      <c r="K33" s="1"/>
      <c r="L33" s="321"/>
    </row>
    <row r="34" spans="1:14" x14ac:dyDescent="0.2">
      <c r="A34" s="6"/>
      <c r="B34" s="98" t="s">
        <v>95</v>
      </c>
      <c r="C34" s="99">
        <v>8964537</v>
      </c>
      <c r="D34" s="99">
        <f t="shared" si="5"/>
        <v>8964537</v>
      </c>
      <c r="E34" s="23">
        <v>0</v>
      </c>
      <c r="F34" s="17">
        <f>1679013+988984+613262</f>
        <v>3281259</v>
      </c>
      <c r="G34" s="23">
        <v>1693800</v>
      </c>
      <c r="H34" s="41">
        <f t="shared" si="6"/>
        <v>0.55497110447533426</v>
      </c>
      <c r="I34" s="27">
        <f t="shared" si="7"/>
        <v>5683278</v>
      </c>
      <c r="J34" s="169">
        <f t="shared" si="4"/>
        <v>0.63397339985322165</v>
      </c>
      <c r="K34" s="1"/>
      <c r="L34" s="321"/>
      <c r="N34" s="323"/>
    </row>
    <row r="35" spans="1:14" x14ac:dyDescent="0.2">
      <c r="A35" s="6"/>
      <c r="B35" s="98" t="s">
        <v>96</v>
      </c>
      <c r="C35" s="99">
        <v>525230000</v>
      </c>
      <c r="D35" s="99">
        <f t="shared" si="5"/>
        <v>525230000</v>
      </c>
      <c r="E35" s="23">
        <v>75858000</v>
      </c>
      <c r="F35" s="17">
        <f>308500000+18000000+71000000-6000000</f>
        <v>391500000</v>
      </c>
      <c r="G35" s="23">
        <v>64700000</v>
      </c>
      <c r="H35" s="41">
        <f t="shared" si="6"/>
        <v>0.86857186375492645</v>
      </c>
      <c r="I35" s="27">
        <f t="shared" si="7"/>
        <v>57872000</v>
      </c>
      <c r="J35" s="169">
        <f t="shared" si="4"/>
        <v>0.11018410981855568</v>
      </c>
      <c r="K35" s="1"/>
      <c r="L35" s="321">
        <f>I35-57872000</f>
        <v>0</v>
      </c>
    </row>
    <row r="36" spans="1:14" ht="13.5" thickBot="1" x14ac:dyDescent="0.25">
      <c r="A36" s="6"/>
      <c r="B36" s="98" t="s">
        <v>97</v>
      </c>
      <c r="C36" s="155">
        <v>154700000</v>
      </c>
      <c r="D36" s="153">
        <f t="shared" si="5"/>
        <v>154700000</v>
      </c>
      <c r="E36" s="21">
        <v>0</v>
      </c>
      <c r="F36" s="42">
        <f>230200000-24000000-24000000-39333333.34-133334</f>
        <v>142733332.66</v>
      </c>
      <c r="G36" s="21">
        <v>30133332.66</v>
      </c>
      <c r="H36" s="46">
        <f t="shared" si="6"/>
        <v>1.1174315793148029</v>
      </c>
      <c r="I36" s="27">
        <f t="shared" si="7"/>
        <v>11966667.340000004</v>
      </c>
      <c r="J36" s="169">
        <f t="shared" si="4"/>
        <v>7.7354022882999376E-2</v>
      </c>
      <c r="K36" s="1"/>
      <c r="L36" s="321">
        <f>I36-11966667.34</f>
        <v>0</v>
      </c>
    </row>
    <row r="37" spans="1:14" ht="13.5" thickBot="1" x14ac:dyDescent="0.25">
      <c r="A37" s="6" t="s">
        <v>47</v>
      </c>
      <c r="B37" s="159" t="s">
        <v>8</v>
      </c>
      <c r="C37" s="130">
        <f t="shared" ref="C37" si="8">SUM(C20:C36)</f>
        <v>3254181954</v>
      </c>
      <c r="D37" s="130">
        <f>SUM(D20:D36)</f>
        <v>3254181954</v>
      </c>
      <c r="E37" s="102">
        <f t="shared" ref="E37:G37" si="9">SUM(E20:E36)</f>
        <v>75858000</v>
      </c>
      <c r="F37" s="118">
        <f t="shared" si="9"/>
        <v>1159299717.6600001</v>
      </c>
      <c r="G37" s="181">
        <f t="shared" si="9"/>
        <v>588435279.65999997</v>
      </c>
      <c r="H37" s="184">
        <f t="shared" si="6"/>
        <v>0.53707353246541911</v>
      </c>
      <c r="I37" s="118">
        <f>SUM(I20:I36)</f>
        <v>2019024236.3399999</v>
      </c>
      <c r="J37" s="185">
        <f t="shared" si="4"/>
        <v>0.62043987241040421</v>
      </c>
      <c r="K37" s="1"/>
      <c r="L37" s="321"/>
    </row>
    <row r="38" spans="1:14" ht="13.5" thickBot="1" x14ac:dyDescent="0.25">
      <c r="A38" s="6"/>
      <c r="B38" s="114" t="s">
        <v>9</v>
      </c>
      <c r="C38" s="83"/>
      <c r="D38" s="141"/>
      <c r="E38" s="161"/>
      <c r="F38" s="161"/>
      <c r="G38" s="161"/>
      <c r="H38" s="162"/>
      <c r="I38" s="161"/>
      <c r="J38" s="163"/>
      <c r="K38" s="1"/>
      <c r="L38" s="321"/>
    </row>
    <row r="39" spans="1:14" x14ac:dyDescent="0.2">
      <c r="A39" s="6"/>
      <c r="B39" s="326" t="s">
        <v>98</v>
      </c>
      <c r="C39" s="94">
        <v>37500000</v>
      </c>
      <c r="D39" s="173">
        <f>C39</f>
        <v>37500000</v>
      </c>
      <c r="E39" s="22">
        <v>0</v>
      </c>
      <c r="F39" s="22">
        <f>293056+3262502+5929444</f>
        <v>9485002</v>
      </c>
      <c r="G39" s="16">
        <v>7194937</v>
      </c>
      <c r="H39" s="40">
        <f>(G39+F39)/D39</f>
        <v>0.44479837333333333</v>
      </c>
      <c r="I39" s="22">
        <f>D39-E39-F39</f>
        <v>28014998</v>
      </c>
      <c r="J39" s="39">
        <f t="shared" ref="J39:J67" si="10">I39/D39</f>
        <v>0.74706661333333335</v>
      </c>
      <c r="K39" s="1"/>
      <c r="L39" s="321"/>
    </row>
    <row r="40" spans="1:14" x14ac:dyDescent="0.2">
      <c r="A40" s="6"/>
      <c r="B40" s="156" t="s">
        <v>14</v>
      </c>
      <c r="C40" s="351">
        <v>106713180</v>
      </c>
      <c r="D40" s="99">
        <f>C40</f>
        <v>106713180</v>
      </c>
      <c r="E40" s="23">
        <v>0</v>
      </c>
      <c r="F40" s="23">
        <v>5982847</v>
      </c>
      <c r="G40" s="17">
        <v>5982847</v>
      </c>
      <c r="H40" s="41">
        <f t="shared" ref="H40:H67" si="11">(G40+F40)/D40</f>
        <v>0.11212948578610439</v>
      </c>
      <c r="I40" s="23">
        <f>D40-E40-F40</f>
        <v>100730333</v>
      </c>
      <c r="J40" s="169">
        <f t="shared" si="10"/>
        <v>0.94393525710694781</v>
      </c>
      <c r="K40" s="1"/>
      <c r="L40" s="321"/>
    </row>
    <row r="41" spans="1:14" x14ac:dyDescent="0.2">
      <c r="A41" s="6"/>
      <c r="B41" s="98" t="s">
        <v>99</v>
      </c>
      <c r="C41" s="172">
        <v>21052260</v>
      </c>
      <c r="D41" s="99">
        <f t="shared" ref="D41:D66" si="12">C41</f>
        <v>21052260</v>
      </c>
      <c r="E41" s="23">
        <v>0</v>
      </c>
      <c r="F41" s="23">
        <v>0</v>
      </c>
      <c r="G41" s="17">
        <v>0</v>
      </c>
      <c r="H41" s="41">
        <f t="shared" si="11"/>
        <v>0</v>
      </c>
      <c r="I41" s="23">
        <f t="shared" ref="I41:I66" si="13">D41-E41-F41</f>
        <v>21052260</v>
      </c>
      <c r="J41" s="169">
        <f t="shared" si="10"/>
        <v>1</v>
      </c>
      <c r="K41" s="1"/>
      <c r="L41" s="321"/>
    </row>
    <row r="42" spans="1:14" x14ac:dyDescent="0.2">
      <c r="A42" s="6"/>
      <c r="B42" s="98" t="s">
        <v>11</v>
      </c>
      <c r="C42" s="172">
        <v>64546500</v>
      </c>
      <c r="D42" s="99">
        <f t="shared" si="12"/>
        <v>64546500</v>
      </c>
      <c r="E42" s="23">
        <v>0</v>
      </c>
      <c r="F42" s="23">
        <v>0</v>
      </c>
      <c r="G42" s="17">
        <v>0</v>
      </c>
      <c r="H42" s="41">
        <f t="shared" si="11"/>
        <v>0</v>
      </c>
      <c r="I42" s="23">
        <f t="shared" si="13"/>
        <v>64546500</v>
      </c>
      <c r="J42" s="169">
        <f t="shared" si="10"/>
        <v>1</v>
      </c>
      <c r="K42" s="1"/>
      <c r="L42" s="321"/>
    </row>
    <row r="43" spans="1:14" x14ac:dyDescent="0.2">
      <c r="A43" s="6"/>
      <c r="B43" s="98" t="s">
        <v>100</v>
      </c>
      <c r="C43" s="172">
        <v>16650000</v>
      </c>
      <c r="D43" s="99">
        <f t="shared" si="12"/>
        <v>16650000</v>
      </c>
      <c r="E43" s="23">
        <v>0</v>
      </c>
      <c r="F43" s="23">
        <v>0</v>
      </c>
      <c r="G43" s="17">
        <v>0</v>
      </c>
      <c r="H43" s="41">
        <f t="shared" si="11"/>
        <v>0</v>
      </c>
      <c r="I43" s="23">
        <f t="shared" si="13"/>
        <v>16650000</v>
      </c>
      <c r="J43" s="169">
        <f t="shared" si="10"/>
        <v>1</v>
      </c>
      <c r="K43" s="1"/>
      <c r="L43" s="321"/>
    </row>
    <row r="44" spans="1:14" ht="18.75" x14ac:dyDescent="0.2">
      <c r="A44" s="6"/>
      <c r="B44" s="325" t="s">
        <v>101</v>
      </c>
      <c r="C44" s="172">
        <v>60000000</v>
      </c>
      <c r="D44" s="99">
        <f t="shared" si="12"/>
        <v>60000000</v>
      </c>
      <c r="E44" s="23">
        <v>0</v>
      </c>
      <c r="F44" s="23">
        <v>5640000</v>
      </c>
      <c r="G44" s="17">
        <v>0</v>
      </c>
      <c r="H44" s="41">
        <f t="shared" si="11"/>
        <v>9.4E-2</v>
      </c>
      <c r="I44" s="23">
        <f t="shared" si="13"/>
        <v>54360000</v>
      </c>
      <c r="J44" s="169">
        <f t="shared" si="10"/>
        <v>0.90600000000000003</v>
      </c>
      <c r="K44" s="1"/>
      <c r="L44" s="321"/>
    </row>
    <row r="45" spans="1:14" x14ac:dyDescent="0.2">
      <c r="A45" s="6"/>
      <c r="B45" s="98" t="s">
        <v>10</v>
      </c>
      <c r="C45" s="172">
        <v>25000000</v>
      </c>
      <c r="D45" s="99">
        <f t="shared" si="12"/>
        <v>25000000</v>
      </c>
      <c r="E45" s="23">
        <v>0</v>
      </c>
      <c r="F45" s="23">
        <f>9120000</f>
        <v>9120000</v>
      </c>
      <c r="G45" s="17">
        <v>606900</v>
      </c>
      <c r="H45" s="41">
        <f t="shared" si="11"/>
        <v>0.38907599999999998</v>
      </c>
      <c r="I45" s="23">
        <f t="shared" si="13"/>
        <v>15880000</v>
      </c>
      <c r="J45" s="169">
        <f t="shared" si="10"/>
        <v>0.63519999999999999</v>
      </c>
      <c r="K45" s="1"/>
      <c r="L45" s="321"/>
    </row>
    <row r="46" spans="1:14" x14ac:dyDescent="0.2">
      <c r="A46" s="6"/>
      <c r="B46" s="98" t="s">
        <v>102</v>
      </c>
      <c r="C46" s="172">
        <v>21200000</v>
      </c>
      <c r="D46" s="99">
        <f t="shared" si="12"/>
        <v>21200000</v>
      </c>
      <c r="E46" s="23">
        <v>0</v>
      </c>
      <c r="F46" s="23">
        <v>4680000</v>
      </c>
      <c r="G46" s="17">
        <v>149000</v>
      </c>
      <c r="H46" s="41">
        <f t="shared" si="11"/>
        <v>0.22778301886792454</v>
      </c>
      <c r="I46" s="23">
        <f t="shared" si="13"/>
        <v>16520000</v>
      </c>
      <c r="J46" s="169">
        <f t="shared" si="10"/>
        <v>0.77924528301886797</v>
      </c>
      <c r="K46" s="1"/>
      <c r="L46" s="321"/>
    </row>
    <row r="47" spans="1:14" x14ac:dyDescent="0.2">
      <c r="A47" s="6"/>
      <c r="B47" s="98" t="s">
        <v>103</v>
      </c>
      <c r="C47" s="172">
        <v>15900000</v>
      </c>
      <c r="D47" s="99">
        <f t="shared" si="12"/>
        <v>15900000</v>
      </c>
      <c r="E47" s="23">
        <v>0</v>
      </c>
      <c r="F47" s="23">
        <v>4920000</v>
      </c>
      <c r="G47" s="17">
        <v>591544</v>
      </c>
      <c r="H47" s="41">
        <f t="shared" si="11"/>
        <v>0.34663798742138363</v>
      </c>
      <c r="I47" s="23">
        <f t="shared" si="13"/>
        <v>10980000</v>
      </c>
      <c r="J47" s="169">
        <f t="shared" si="10"/>
        <v>0.69056603773584901</v>
      </c>
      <c r="K47" s="1"/>
      <c r="L47" s="321"/>
    </row>
    <row r="48" spans="1:14" x14ac:dyDescent="0.2">
      <c r="A48" s="6"/>
      <c r="B48" s="98" t="s">
        <v>104</v>
      </c>
      <c r="C48" s="172">
        <v>71020000</v>
      </c>
      <c r="D48" s="99">
        <f t="shared" si="12"/>
        <v>71020000</v>
      </c>
      <c r="E48" s="23">
        <v>0</v>
      </c>
      <c r="F48" s="23">
        <v>0</v>
      </c>
      <c r="G48" s="17">
        <v>0</v>
      </c>
      <c r="H48" s="41">
        <f t="shared" si="11"/>
        <v>0</v>
      </c>
      <c r="I48" s="23">
        <f t="shared" si="13"/>
        <v>71020000</v>
      </c>
      <c r="J48" s="169">
        <f t="shared" si="10"/>
        <v>1</v>
      </c>
      <c r="K48" s="1"/>
      <c r="L48" s="321"/>
    </row>
    <row r="49" spans="1:12" x14ac:dyDescent="0.2">
      <c r="A49" s="6"/>
      <c r="B49" s="98" t="s">
        <v>105</v>
      </c>
      <c r="C49" s="172">
        <v>34662000</v>
      </c>
      <c r="D49" s="99">
        <f t="shared" si="12"/>
        <v>34662000</v>
      </c>
      <c r="E49" s="23">
        <v>30000000</v>
      </c>
      <c r="F49" s="23">
        <v>0</v>
      </c>
      <c r="G49" s="17">
        <v>0</v>
      </c>
      <c r="H49" s="41">
        <f t="shared" si="11"/>
        <v>0</v>
      </c>
      <c r="I49" s="23">
        <f t="shared" si="13"/>
        <v>4662000</v>
      </c>
      <c r="J49" s="169">
        <f t="shared" si="10"/>
        <v>0.13449887484853731</v>
      </c>
      <c r="K49" s="1"/>
      <c r="L49" s="321"/>
    </row>
    <row r="50" spans="1:12" x14ac:dyDescent="0.2">
      <c r="A50" s="6"/>
      <c r="B50" s="98" t="s">
        <v>106</v>
      </c>
      <c r="C50" s="172">
        <v>32000000</v>
      </c>
      <c r="D50" s="99">
        <f t="shared" si="12"/>
        <v>32000000</v>
      </c>
      <c r="E50" s="23">
        <v>0</v>
      </c>
      <c r="F50" s="23">
        <v>1968000</v>
      </c>
      <c r="G50" s="17">
        <v>0</v>
      </c>
      <c r="H50" s="41">
        <f t="shared" si="11"/>
        <v>6.1499999999999999E-2</v>
      </c>
      <c r="I50" s="23">
        <f t="shared" si="13"/>
        <v>30032000</v>
      </c>
      <c r="J50" s="169">
        <f t="shared" si="10"/>
        <v>0.9385</v>
      </c>
      <c r="K50" s="1"/>
      <c r="L50" s="321"/>
    </row>
    <row r="51" spans="1:12" x14ac:dyDescent="0.2">
      <c r="A51" s="6"/>
      <c r="B51" s="98" t="s">
        <v>298</v>
      </c>
      <c r="C51" s="172">
        <v>42400000</v>
      </c>
      <c r="D51" s="99">
        <f t="shared" si="12"/>
        <v>42400000</v>
      </c>
      <c r="E51" s="23">
        <v>0</v>
      </c>
      <c r="F51" s="23">
        <v>0</v>
      </c>
      <c r="G51" s="17">
        <v>0</v>
      </c>
      <c r="H51" s="41">
        <f t="shared" si="11"/>
        <v>0</v>
      </c>
      <c r="I51" s="23">
        <f t="shared" si="13"/>
        <v>42400000</v>
      </c>
      <c r="J51" s="169">
        <f t="shared" si="10"/>
        <v>1</v>
      </c>
      <c r="K51" s="1"/>
      <c r="L51" s="321"/>
    </row>
    <row r="52" spans="1:12" x14ac:dyDescent="0.2">
      <c r="A52" s="6"/>
      <c r="B52" s="101" t="s">
        <v>107</v>
      </c>
      <c r="C52" s="352">
        <v>3180000</v>
      </c>
      <c r="D52" s="99">
        <f t="shared" si="12"/>
        <v>3180000</v>
      </c>
      <c r="E52" s="23">
        <v>0</v>
      </c>
      <c r="F52" s="23">
        <v>2400000</v>
      </c>
      <c r="G52" s="17">
        <v>0</v>
      </c>
      <c r="H52" s="41">
        <f t="shared" si="11"/>
        <v>0.75471698113207553</v>
      </c>
      <c r="I52" s="23">
        <f t="shared" si="13"/>
        <v>780000</v>
      </c>
      <c r="J52" s="169">
        <f t="shared" si="10"/>
        <v>0.24528301886792453</v>
      </c>
      <c r="K52" s="1"/>
      <c r="L52" s="321"/>
    </row>
    <row r="53" spans="1:12" x14ac:dyDescent="0.2">
      <c r="A53" s="6"/>
      <c r="B53" s="101" t="s">
        <v>13</v>
      </c>
      <c r="C53" s="353">
        <v>134547252</v>
      </c>
      <c r="D53" s="99">
        <f t="shared" si="12"/>
        <v>134547252</v>
      </c>
      <c r="E53" s="23">
        <v>0</v>
      </c>
      <c r="F53" s="23">
        <f>10141137.66+10082360.46+10164170</f>
        <v>30387668.120000001</v>
      </c>
      <c r="G53" s="17">
        <v>26565904.120000001</v>
      </c>
      <c r="H53" s="41">
        <f t="shared" si="11"/>
        <v>0.4232979224280255</v>
      </c>
      <c r="I53" s="23">
        <f t="shared" si="13"/>
        <v>104159583.88</v>
      </c>
      <c r="J53" s="169">
        <f t="shared" si="10"/>
        <v>0.77414872716984218</v>
      </c>
      <c r="K53" s="1"/>
      <c r="L53" s="321"/>
    </row>
    <row r="54" spans="1:12" x14ac:dyDescent="0.2">
      <c r="A54" s="6"/>
      <c r="B54" s="101" t="s">
        <v>12</v>
      </c>
      <c r="C54" s="353">
        <v>4770000</v>
      </c>
      <c r="D54" s="99">
        <f t="shared" si="12"/>
        <v>4770000</v>
      </c>
      <c r="E54" s="180">
        <v>0</v>
      </c>
      <c r="F54" s="180">
        <v>4560000</v>
      </c>
      <c r="G54" s="177">
        <v>400800</v>
      </c>
      <c r="H54" s="41">
        <f t="shared" si="11"/>
        <v>1.04</v>
      </c>
      <c r="I54" s="23">
        <f t="shared" si="13"/>
        <v>210000</v>
      </c>
      <c r="J54" s="169">
        <f t="shared" si="10"/>
        <v>4.40251572327044E-2</v>
      </c>
      <c r="K54" s="1"/>
      <c r="L54" s="321"/>
    </row>
    <row r="55" spans="1:12" x14ac:dyDescent="0.2">
      <c r="A55" s="6"/>
      <c r="B55" s="101" t="s">
        <v>108</v>
      </c>
      <c r="C55" s="353">
        <v>426756000</v>
      </c>
      <c r="D55" s="99">
        <f t="shared" si="12"/>
        <v>426756000</v>
      </c>
      <c r="E55" s="23">
        <v>0</v>
      </c>
      <c r="F55" s="23">
        <v>174589044</v>
      </c>
      <c r="G55" s="17">
        <v>13994539</v>
      </c>
      <c r="H55" s="41">
        <f t="shared" si="11"/>
        <v>0.44190024979144993</v>
      </c>
      <c r="I55" s="23">
        <f t="shared" si="13"/>
        <v>252166956</v>
      </c>
      <c r="J55" s="169">
        <f t="shared" si="10"/>
        <v>0.59089258499001773</v>
      </c>
      <c r="K55" s="1"/>
      <c r="L55" s="321"/>
    </row>
    <row r="56" spans="1:12" x14ac:dyDescent="0.2">
      <c r="A56" s="6"/>
      <c r="B56" s="101" t="s">
        <v>109</v>
      </c>
      <c r="C56" s="353">
        <v>25250790</v>
      </c>
      <c r="D56" s="99">
        <f t="shared" si="12"/>
        <v>25250790</v>
      </c>
      <c r="E56" s="23">
        <v>0</v>
      </c>
      <c r="F56" s="23">
        <v>0</v>
      </c>
      <c r="G56" s="17">
        <v>0</v>
      </c>
      <c r="H56" s="41">
        <f t="shared" si="11"/>
        <v>0</v>
      </c>
      <c r="I56" s="23">
        <f t="shared" si="13"/>
        <v>25250790</v>
      </c>
      <c r="J56" s="169">
        <f t="shared" si="10"/>
        <v>1</v>
      </c>
      <c r="K56" s="1"/>
      <c r="L56" s="321"/>
    </row>
    <row r="57" spans="1:12" x14ac:dyDescent="0.2">
      <c r="A57" s="6"/>
      <c r="B57" s="101" t="s">
        <v>110</v>
      </c>
      <c r="C57" s="352">
        <v>79500000</v>
      </c>
      <c r="D57" s="99">
        <f t="shared" si="12"/>
        <v>79500000</v>
      </c>
      <c r="E57" s="23">
        <v>0</v>
      </c>
      <c r="F57" s="23">
        <v>0</v>
      </c>
      <c r="G57" s="17">
        <v>0</v>
      </c>
      <c r="H57" s="41">
        <f t="shared" si="11"/>
        <v>0</v>
      </c>
      <c r="I57" s="23">
        <f t="shared" si="13"/>
        <v>79500000</v>
      </c>
      <c r="J57" s="169">
        <f t="shared" si="10"/>
        <v>1</v>
      </c>
      <c r="K57" s="1"/>
      <c r="L57" s="321"/>
    </row>
    <row r="58" spans="1:12" x14ac:dyDescent="0.2">
      <c r="A58" s="6"/>
      <c r="B58" s="101" t="s">
        <v>111</v>
      </c>
      <c r="C58" s="353">
        <v>3180000</v>
      </c>
      <c r="D58" s="99">
        <f t="shared" si="12"/>
        <v>3180000</v>
      </c>
      <c r="E58" s="23">
        <v>0</v>
      </c>
      <c r="F58" s="23">
        <v>0</v>
      </c>
      <c r="G58" s="17">
        <v>0</v>
      </c>
      <c r="H58" s="41">
        <f t="shared" si="11"/>
        <v>0</v>
      </c>
      <c r="I58" s="23">
        <f t="shared" si="13"/>
        <v>3180000</v>
      </c>
      <c r="J58" s="169">
        <f t="shared" si="10"/>
        <v>1</v>
      </c>
      <c r="K58" s="1"/>
      <c r="L58" s="321"/>
    </row>
    <row r="59" spans="1:12" x14ac:dyDescent="0.2">
      <c r="A59" s="6"/>
      <c r="B59" s="101" t="s">
        <v>112</v>
      </c>
      <c r="C59" s="353">
        <v>120000000</v>
      </c>
      <c r="D59" s="99">
        <f t="shared" si="12"/>
        <v>120000000</v>
      </c>
      <c r="E59" s="23">
        <v>0</v>
      </c>
      <c r="F59" s="23">
        <v>100000000</v>
      </c>
      <c r="G59" s="17">
        <v>0</v>
      </c>
      <c r="H59" s="41">
        <f t="shared" si="11"/>
        <v>0.83333333333333337</v>
      </c>
      <c r="I59" s="23">
        <f t="shared" si="13"/>
        <v>20000000</v>
      </c>
      <c r="J59" s="169">
        <f t="shared" si="10"/>
        <v>0.16666666666666666</v>
      </c>
      <c r="K59" s="1"/>
      <c r="L59" s="321"/>
    </row>
    <row r="60" spans="1:12" ht="18.75" x14ac:dyDescent="0.2">
      <c r="A60" s="6"/>
      <c r="B60" s="325" t="s">
        <v>113</v>
      </c>
      <c r="C60" s="353">
        <v>42400000</v>
      </c>
      <c r="D60" s="99">
        <f t="shared" si="12"/>
        <v>42400000</v>
      </c>
      <c r="E60" s="23">
        <v>5000000</v>
      </c>
      <c r="F60" s="23">
        <f>6480000+10000000</f>
        <v>16480000</v>
      </c>
      <c r="G60" s="17">
        <v>651000</v>
      </c>
      <c r="H60" s="41">
        <f t="shared" si="11"/>
        <v>0.40403301886792453</v>
      </c>
      <c r="I60" s="23">
        <f t="shared" si="13"/>
        <v>20920000</v>
      </c>
      <c r="J60" s="169">
        <f t="shared" si="10"/>
        <v>0.49339622641509434</v>
      </c>
      <c r="K60" s="1"/>
      <c r="L60" s="321"/>
    </row>
    <row r="61" spans="1:12" ht="18.75" x14ac:dyDescent="0.2">
      <c r="A61" s="6"/>
      <c r="B61" s="325" t="s">
        <v>114</v>
      </c>
      <c r="C61" s="353">
        <v>139641800</v>
      </c>
      <c r="D61" s="99">
        <f t="shared" si="12"/>
        <v>139641800</v>
      </c>
      <c r="E61" s="180">
        <v>0</v>
      </c>
      <c r="F61" s="180">
        <v>0</v>
      </c>
      <c r="G61" s="177">
        <v>0</v>
      </c>
      <c r="H61" s="41">
        <f t="shared" si="11"/>
        <v>0</v>
      </c>
      <c r="I61" s="23">
        <f t="shared" si="13"/>
        <v>139641800</v>
      </c>
      <c r="J61" s="169">
        <f t="shared" si="10"/>
        <v>1</v>
      </c>
      <c r="K61" s="1"/>
      <c r="L61" s="321"/>
    </row>
    <row r="62" spans="1:12" x14ac:dyDescent="0.2">
      <c r="A62" s="6"/>
      <c r="B62" s="101" t="s">
        <v>115</v>
      </c>
      <c r="C62" s="353">
        <v>37100000</v>
      </c>
      <c r="D62" s="99">
        <f t="shared" si="12"/>
        <v>37100000</v>
      </c>
      <c r="E62" s="23">
        <v>25000000</v>
      </c>
      <c r="F62" s="23">
        <v>11640000</v>
      </c>
      <c r="G62" s="17">
        <v>144000</v>
      </c>
      <c r="H62" s="41">
        <f t="shared" si="11"/>
        <v>0.31762803234501347</v>
      </c>
      <c r="I62" s="23">
        <f t="shared" si="13"/>
        <v>460000</v>
      </c>
      <c r="J62" s="169">
        <f t="shared" si="10"/>
        <v>1.2398921832884097E-2</v>
      </c>
      <c r="K62" s="1"/>
      <c r="L62" s="321"/>
    </row>
    <row r="63" spans="1:12" ht="18.75" x14ac:dyDescent="0.2">
      <c r="A63" s="6"/>
      <c r="B63" s="325" t="s">
        <v>116</v>
      </c>
      <c r="C63" s="353">
        <v>60000000</v>
      </c>
      <c r="D63" s="99">
        <f t="shared" si="12"/>
        <v>60000000</v>
      </c>
      <c r="E63" s="23">
        <v>10000000</v>
      </c>
      <c r="F63" s="23">
        <v>10440000</v>
      </c>
      <c r="G63" s="17">
        <v>916400</v>
      </c>
      <c r="H63" s="41">
        <f t="shared" si="11"/>
        <v>0.18927333333333332</v>
      </c>
      <c r="I63" s="23">
        <f t="shared" si="13"/>
        <v>39560000</v>
      </c>
      <c r="J63" s="169">
        <f t="shared" si="10"/>
        <v>0.65933333333333333</v>
      </c>
      <c r="K63" s="1"/>
      <c r="L63" s="321"/>
    </row>
    <row r="64" spans="1:12" ht="18.75" x14ac:dyDescent="0.2">
      <c r="A64" s="6"/>
      <c r="B64" s="325" t="s">
        <v>117</v>
      </c>
      <c r="C64" s="353">
        <v>9010000</v>
      </c>
      <c r="D64" s="99">
        <f t="shared" si="12"/>
        <v>9010000</v>
      </c>
      <c r="E64" s="23">
        <v>0</v>
      </c>
      <c r="F64" s="23">
        <v>6480000</v>
      </c>
      <c r="G64" s="17">
        <v>0</v>
      </c>
      <c r="H64" s="41">
        <f t="shared" si="11"/>
        <v>0.71920088790233072</v>
      </c>
      <c r="I64" s="23">
        <f t="shared" si="13"/>
        <v>2530000</v>
      </c>
      <c r="J64" s="169">
        <f t="shared" si="10"/>
        <v>0.28079911209766928</v>
      </c>
      <c r="K64" s="1"/>
      <c r="L64" s="321"/>
    </row>
    <row r="65" spans="1:12" x14ac:dyDescent="0.2">
      <c r="A65" s="6"/>
      <c r="B65" s="101" t="s">
        <v>118</v>
      </c>
      <c r="C65" s="353">
        <v>168431350</v>
      </c>
      <c r="D65" s="99">
        <f t="shared" si="12"/>
        <v>168431350</v>
      </c>
      <c r="E65" s="23">
        <v>0</v>
      </c>
      <c r="F65" s="23">
        <f>29070978+104542600</f>
        <v>133613578</v>
      </c>
      <c r="G65" s="17">
        <v>133613578</v>
      </c>
      <c r="H65" s="41">
        <f t="shared" si="11"/>
        <v>1.5865642352210558</v>
      </c>
      <c r="I65" s="23">
        <f t="shared" si="13"/>
        <v>34817772</v>
      </c>
      <c r="J65" s="169">
        <f t="shared" si="10"/>
        <v>0.20671788238947203</v>
      </c>
      <c r="K65" s="1"/>
      <c r="L65" s="321"/>
    </row>
    <row r="66" spans="1:12" ht="13.5" thickBot="1" x14ac:dyDescent="0.25">
      <c r="A66" s="6"/>
      <c r="B66" s="122" t="s">
        <v>119</v>
      </c>
      <c r="C66" s="155">
        <v>14840000</v>
      </c>
      <c r="D66" s="153">
        <f t="shared" si="12"/>
        <v>14840000</v>
      </c>
      <c r="E66" s="21">
        <v>0</v>
      </c>
      <c r="F66" s="21">
        <v>10201476</v>
      </c>
      <c r="G66" s="42">
        <v>0</v>
      </c>
      <c r="H66" s="46">
        <f t="shared" si="11"/>
        <v>0.68743099730458224</v>
      </c>
      <c r="I66" s="23">
        <f t="shared" si="13"/>
        <v>4638524</v>
      </c>
      <c r="J66" s="182">
        <f t="shared" si="10"/>
        <v>0.31256900269541776</v>
      </c>
      <c r="K66" s="1"/>
      <c r="L66" s="321"/>
    </row>
    <row r="67" spans="1:12" ht="13.5" thickBot="1" x14ac:dyDescent="0.25">
      <c r="A67" s="6"/>
      <c r="B67" s="117" t="s">
        <v>15</v>
      </c>
      <c r="C67" s="118">
        <f>SUM(C39:C66)</f>
        <v>1817251132</v>
      </c>
      <c r="D67" s="118">
        <f>SUM(D39:D66)</f>
        <v>1817251132</v>
      </c>
      <c r="E67" s="175">
        <f>SUM(E39:E66)</f>
        <v>70000000</v>
      </c>
      <c r="F67" s="118">
        <f>SUM(F39:F66)</f>
        <v>542587615.12</v>
      </c>
      <c r="G67" s="118">
        <f>SUM(G39:G66)</f>
        <v>190811449.12</v>
      </c>
      <c r="H67" s="184">
        <f t="shared" si="11"/>
        <v>0.4035760667997757</v>
      </c>
      <c r="I67" s="131">
        <f>SUM(I39:I66)</f>
        <v>1204663516.8800001</v>
      </c>
      <c r="J67" s="183">
        <f t="shared" si="10"/>
        <v>0.66290425999305425</v>
      </c>
      <c r="K67" s="1"/>
      <c r="L67" s="321"/>
    </row>
    <row r="68" spans="1:12" ht="13.5" thickBot="1" x14ac:dyDescent="0.25">
      <c r="A68" s="6"/>
      <c r="B68" s="114" t="s">
        <v>121</v>
      </c>
      <c r="C68" s="124"/>
      <c r="D68" s="141"/>
      <c r="E68" s="161"/>
      <c r="F68" s="161"/>
      <c r="G68" s="161"/>
      <c r="H68" s="162"/>
      <c r="I68" s="161"/>
      <c r="J68" s="163"/>
      <c r="K68" s="1"/>
      <c r="L68" s="321"/>
    </row>
    <row r="69" spans="1:12" x14ac:dyDescent="0.2">
      <c r="A69" s="6"/>
      <c r="B69" s="93" t="s">
        <v>16</v>
      </c>
      <c r="C69" s="94">
        <v>191637788</v>
      </c>
      <c r="D69" s="125">
        <f>C69</f>
        <v>191637788</v>
      </c>
      <c r="E69" s="22">
        <v>0</v>
      </c>
      <c r="F69" s="32">
        <f>18648412+18648412+18648412</f>
        <v>55945236</v>
      </c>
      <c r="G69" s="45">
        <v>2000000</v>
      </c>
      <c r="H69" s="40">
        <f>(G69+F69)/D69</f>
        <v>0.30236852869539488</v>
      </c>
      <c r="I69" s="22">
        <f>D69-E69-F69</f>
        <v>135692552</v>
      </c>
      <c r="J69" s="39">
        <f>I69/D69</f>
        <v>0.70806782637253152</v>
      </c>
      <c r="K69" s="1"/>
      <c r="L69" s="321"/>
    </row>
    <row r="70" spans="1:12" ht="13.5" thickBot="1" x14ac:dyDescent="0.25">
      <c r="A70" s="6"/>
      <c r="B70" s="126" t="s">
        <v>120</v>
      </c>
      <c r="C70" s="138">
        <v>2523330</v>
      </c>
      <c r="D70" s="127">
        <f>C70</f>
        <v>2523330</v>
      </c>
      <c r="E70" s="21">
        <v>0</v>
      </c>
      <c r="F70" s="57">
        <v>0</v>
      </c>
      <c r="G70" s="31">
        <v>0</v>
      </c>
      <c r="H70" s="46">
        <f t="shared" ref="H70:H71" si="14">(G70+F70)/D70</f>
        <v>0</v>
      </c>
      <c r="I70" s="23">
        <f>D70-E70-F70</f>
        <v>2523330</v>
      </c>
      <c r="J70" s="170">
        <f>I70/D70</f>
        <v>1</v>
      </c>
      <c r="K70" s="1"/>
      <c r="L70" s="321"/>
    </row>
    <row r="71" spans="1:12" ht="13.5" thickBot="1" x14ac:dyDescent="0.25">
      <c r="A71" s="6"/>
      <c r="B71" s="128" t="s">
        <v>8</v>
      </c>
      <c r="C71" s="118">
        <f t="shared" ref="C71" si="15">SUM(C69:C70)</f>
        <v>194161118</v>
      </c>
      <c r="D71" s="118">
        <f>SUM(D69:D70)</f>
        <v>194161118</v>
      </c>
      <c r="E71" s="175">
        <f t="shared" ref="E71:I71" si="16">SUM(E69:E70)</f>
        <v>0</v>
      </c>
      <c r="F71" s="102">
        <f t="shared" si="16"/>
        <v>55945236</v>
      </c>
      <c r="G71" s="175">
        <f t="shared" si="16"/>
        <v>2000000</v>
      </c>
      <c r="H71" s="184">
        <f t="shared" si="14"/>
        <v>0.29843892843674291</v>
      </c>
      <c r="I71" s="131">
        <f t="shared" si="16"/>
        <v>138215882</v>
      </c>
      <c r="J71" s="186">
        <f>I71/D71</f>
        <v>0.71186179510977066</v>
      </c>
      <c r="K71" s="1"/>
      <c r="L71" s="321"/>
    </row>
    <row r="72" spans="1:12" ht="13.5" thickBot="1" x14ac:dyDescent="0.25">
      <c r="A72" s="6"/>
      <c r="B72" s="114" t="s">
        <v>122</v>
      </c>
      <c r="C72" s="120"/>
      <c r="D72" s="86"/>
      <c r="E72" s="164"/>
      <c r="F72" s="164"/>
      <c r="G72" s="164"/>
      <c r="H72" s="162"/>
      <c r="I72" s="142"/>
      <c r="J72" s="163"/>
      <c r="K72" s="1"/>
      <c r="L72" s="321"/>
    </row>
    <row r="73" spans="1:12" x14ac:dyDescent="0.2">
      <c r="A73" s="6"/>
      <c r="B73" s="93" t="s">
        <v>17</v>
      </c>
      <c r="C73" s="94">
        <v>1968734663</v>
      </c>
      <c r="D73" s="125">
        <f>C73</f>
        <v>1968734663</v>
      </c>
      <c r="E73" s="45">
        <v>0</v>
      </c>
      <c r="F73" s="22">
        <v>200000000</v>
      </c>
      <c r="G73" s="178">
        <v>120795428.26000001</v>
      </c>
      <c r="H73" s="40">
        <f>(G73+F73)/D73</f>
        <v>0.16294497896997712</v>
      </c>
      <c r="I73" s="22">
        <f>D73-E73-F73</f>
        <v>1768734663</v>
      </c>
      <c r="J73" s="39">
        <f>I73/D73</f>
        <v>0.89841190701887896</v>
      </c>
      <c r="K73" s="1"/>
      <c r="L73" s="321"/>
    </row>
    <row r="74" spans="1:12" ht="13.5" thickBot="1" x14ac:dyDescent="0.25">
      <c r="A74" s="6"/>
      <c r="B74" s="122" t="s">
        <v>48</v>
      </c>
      <c r="C74" s="155">
        <v>40000000</v>
      </c>
      <c r="D74" s="218">
        <f>C74</f>
        <v>40000000</v>
      </c>
      <c r="E74" s="21">
        <v>0</v>
      </c>
      <c r="F74" s="21">
        <f>2000000+2274000</f>
        <v>4274000</v>
      </c>
      <c r="G74" s="42">
        <v>3137000</v>
      </c>
      <c r="H74" s="46">
        <f t="shared" ref="H74:H75" si="17">(G74+F74)/D74</f>
        <v>0.185275</v>
      </c>
      <c r="I74" s="23">
        <f>D74-E74-F74</f>
        <v>35726000</v>
      </c>
      <c r="J74" s="170">
        <f>I74/D74</f>
        <v>0.89315</v>
      </c>
      <c r="K74" s="1"/>
      <c r="L74" s="321"/>
    </row>
    <row r="75" spans="1:12" ht="13.5" thickBot="1" x14ac:dyDescent="0.25">
      <c r="A75" s="6"/>
      <c r="B75" s="114" t="s">
        <v>15</v>
      </c>
      <c r="C75" s="86">
        <f>SUM(C73:C74)</f>
        <v>2008734663</v>
      </c>
      <c r="D75" s="86">
        <f>SUM(D73:D74)</f>
        <v>2008734663</v>
      </c>
      <c r="E75" s="175">
        <f t="shared" ref="E75:G75" si="18">SUM(E73:E74)</f>
        <v>0</v>
      </c>
      <c r="F75" s="102">
        <f t="shared" si="18"/>
        <v>204274000</v>
      </c>
      <c r="G75" s="324">
        <f t="shared" si="18"/>
        <v>123932428.26000001</v>
      </c>
      <c r="H75" s="184">
        <f t="shared" si="17"/>
        <v>0.16338963741972326</v>
      </c>
      <c r="I75" s="131">
        <f t="shared" ref="I75" si="19">SUM(I73:I74)</f>
        <v>1804460663</v>
      </c>
      <c r="J75" s="186">
        <f>I75/D75</f>
        <v>0.8983071264898066</v>
      </c>
      <c r="K75" s="1"/>
      <c r="L75" s="321"/>
    </row>
    <row r="76" spans="1:12" ht="13.5" thickBot="1" x14ac:dyDescent="0.25">
      <c r="A76" s="6"/>
      <c r="B76" s="128" t="s">
        <v>123</v>
      </c>
      <c r="C76" s="131"/>
      <c r="D76" s="118"/>
      <c r="E76" s="160"/>
      <c r="F76" s="160"/>
      <c r="G76" s="160"/>
      <c r="H76" s="56"/>
      <c r="I76" s="56"/>
      <c r="J76" s="56"/>
      <c r="K76" s="1"/>
      <c r="L76" s="321"/>
    </row>
    <row r="77" spans="1:12" x14ac:dyDescent="0.2">
      <c r="A77" s="6"/>
      <c r="B77" s="115" t="s">
        <v>124</v>
      </c>
      <c r="C77" s="95">
        <v>265000000</v>
      </c>
      <c r="D77" s="216">
        <f>C77</f>
        <v>265000000</v>
      </c>
      <c r="E77" s="45">
        <v>0</v>
      </c>
      <c r="F77" s="45">
        <v>0</v>
      </c>
      <c r="G77" s="178">
        <v>0</v>
      </c>
      <c r="H77" s="40">
        <f>(G77+F77)/D77</f>
        <v>0</v>
      </c>
      <c r="I77" s="22">
        <f>D77-E77-F77</f>
        <v>265000000</v>
      </c>
      <c r="J77" s="39">
        <f>I77/D77</f>
        <v>1</v>
      </c>
      <c r="K77" s="1"/>
      <c r="L77" s="321"/>
    </row>
    <row r="78" spans="1:12" ht="13.5" thickBot="1" x14ac:dyDescent="0.25">
      <c r="A78" s="6"/>
      <c r="B78" s="116" t="s">
        <v>125</v>
      </c>
      <c r="C78" s="171">
        <v>15900000</v>
      </c>
      <c r="D78" s="347">
        <f>C78</f>
        <v>15900000</v>
      </c>
      <c r="E78" s="31">
        <v>0</v>
      </c>
      <c r="F78" s="31">
        <v>0</v>
      </c>
      <c r="G78" s="179">
        <v>0</v>
      </c>
      <c r="H78" s="46">
        <f t="shared" ref="H78:H79" si="20">(G78+F78)/D78</f>
        <v>0</v>
      </c>
      <c r="I78" s="23">
        <f>D78-E78-F78</f>
        <v>15900000</v>
      </c>
      <c r="J78" s="170">
        <f>I78/D78</f>
        <v>1</v>
      </c>
      <c r="K78" s="1"/>
      <c r="L78" s="321"/>
    </row>
    <row r="79" spans="1:12" ht="13.5" thickBot="1" x14ac:dyDescent="0.25">
      <c r="A79" s="6"/>
      <c r="B79" s="128" t="s">
        <v>8</v>
      </c>
      <c r="C79" s="130">
        <f t="shared" ref="C79" si="21">SUM(C77:C78)</f>
        <v>280900000</v>
      </c>
      <c r="D79" s="130">
        <f>SUM(D77:D78)</f>
        <v>280900000</v>
      </c>
      <c r="E79" s="174">
        <f t="shared" ref="E79:G79" si="22">SUM(E77:E78)</f>
        <v>0</v>
      </c>
      <c r="F79" s="174">
        <f t="shared" si="22"/>
        <v>0</v>
      </c>
      <c r="G79" s="166">
        <f t="shared" si="22"/>
        <v>0</v>
      </c>
      <c r="H79" s="184">
        <f t="shared" si="20"/>
        <v>0</v>
      </c>
      <c r="I79" s="131">
        <f t="shared" ref="I79" si="23">SUM(I77:I78)</f>
        <v>280900000</v>
      </c>
      <c r="J79" s="186">
        <f>I79/D79</f>
        <v>1</v>
      </c>
      <c r="K79" s="1"/>
      <c r="L79" s="321"/>
    </row>
    <row r="80" spans="1:12" ht="13.5" thickBot="1" x14ac:dyDescent="0.25">
      <c r="A80" s="6"/>
      <c r="B80" s="132" t="s">
        <v>18</v>
      </c>
      <c r="C80" s="130">
        <f t="shared" ref="C80:J80" si="24">C37+C67+C71+C75+C79</f>
        <v>7555228867</v>
      </c>
      <c r="D80" s="130">
        <f t="shared" si="24"/>
        <v>7555228867</v>
      </c>
      <c r="E80" s="133">
        <f t="shared" si="24"/>
        <v>145858000</v>
      </c>
      <c r="F80" s="130">
        <f t="shared" si="24"/>
        <v>1962106568.7800002</v>
      </c>
      <c r="G80" s="130">
        <f t="shared" si="24"/>
        <v>905179157.03999996</v>
      </c>
      <c r="H80" s="130">
        <f t="shared" si="24"/>
        <v>1.4024781651216611</v>
      </c>
      <c r="I80" s="130">
        <f t="shared" si="24"/>
        <v>5447264298.2200003</v>
      </c>
      <c r="J80" s="130">
        <f t="shared" si="24"/>
        <v>3.8935130540030358</v>
      </c>
      <c r="K80" s="1"/>
      <c r="L80" s="321">
        <f>I80-5447264298.22</f>
        <v>0</v>
      </c>
    </row>
    <row r="81" spans="1:12" ht="13.5" thickBot="1" x14ac:dyDescent="0.25">
      <c r="A81" s="7"/>
      <c r="B81" s="168"/>
      <c r="C81" s="192"/>
      <c r="D81" s="192"/>
      <c r="E81" s="192"/>
      <c r="F81" s="421"/>
      <c r="G81" s="2"/>
      <c r="H81" s="8"/>
      <c r="I81" s="415"/>
      <c r="J81" s="8"/>
      <c r="K81" s="3"/>
      <c r="L81" s="321"/>
    </row>
    <row r="82" spans="1:12" x14ac:dyDescent="0.2">
      <c r="B82" s="24"/>
      <c r="C82" s="323"/>
      <c r="D82" s="323"/>
      <c r="E82" s="321"/>
      <c r="F82" s="417"/>
      <c r="G82" s="321"/>
      <c r="H82" s="321"/>
      <c r="I82" s="321"/>
      <c r="J82" s="321"/>
      <c r="K82" s="26"/>
      <c r="L82" s="321"/>
    </row>
    <row r="83" spans="1:12" x14ac:dyDescent="0.2">
      <c r="B83" s="24"/>
      <c r="C83" s="323"/>
      <c r="D83" s="323"/>
      <c r="K83" s="26"/>
      <c r="L83" s="321"/>
    </row>
    <row r="84" spans="1:12" x14ac:dyDescent="0.2">
      <c r="B84" s="4" t="s">
        <v>341</v>
      </c>
      <c r="C84" s="323"/>
      <c r="D84" s="323"/>
      <c r="F84" s="405"/>
      <c r="K84" s="26"/>
    </row>
    <row r="85" spans="1:12" x14ac:dyDescent="0.2">
      <c r="B85" s="189"/>
      <c r="C85" s="323"/>
      <c r="D85" s="406"/>
      <c r="K85" s="26"/>
    </row>
    <row r="86" spans="1:12" x14ac:dyDescent="0.2">
      <c r="B86" s="189"/>
      <c r="C86" s="323"/>
      <c r="D86" s="323"/>
      <c r="K86" s="26"/>
    </row>
    <row r="87" spans="1:12" x14ac:dyDescent="0.2">
      <c r="B87" s="15"/>
      <c r="K87" s="26"/>
    </row>
    <row r="88" spans="1:12" ht="15.75" thickBot="1" x14ac:dyDescent="0.25">
      <c r="B88" s="52"/>
      <c r="D88" s="14"/>
      <c r="E88" s="320"/>
      <c r="F88" s="14"/>
      <c r="K88" s="26"/>
    </row>
    <row r="89" spans="1:12" x14ac:dyDescent="0.2">
      <c r="B89" s="4" t="s">
        <v>318</v>
      </c>
      <c r="C89" s="343"/>
      <c r="D89" s="358" t="s">
        <v>305</v>
      </c>
      <c r="E89" s="319"/>
      <c r="K89" s="26"/>
    </row>
    <row r="90" spans="1:12" x14ac:dyDescent="0.2">
      <c r="B90" s="104" t="s">
        <v>319</v>
      </c>
      <c r="C90" s="343"/>
      <c r="D90" s="357" t="s">
        <v>307</v>
      </c>
      <c r="E90" s="135"/>
      <c r="K90" s="26"/>
    </row>
    <row r="91" spans="1:12" x14ac:dyDescent="0.2">
      <c r="B91" s="15"/>
      <c r="I91" s="407">
        <f>E80+F80</f>
        <v>2107964568.7800002</v>
      </c>
      <c r="K91" s="26"/>
    </row>
    <row r="92" spans="1:12" ht="13.5" thickBot="1" x14ac:dyDescent="0.25">
      <c r="B92" s="191" t="s">
        <v>301</v>
      </c>
      <c r="C92" s="72"/>
      <c r="D92" s="14"/>
      <c r="E92" s="14"/>
      <c r="F92" s="14"/>
      <c r="G92" s="14"/>
      <c r="H92" s="14"/>
      <c r="I92" s="14"/>
      <c r="J92" s="14"/>
      <c r="K92" s="18"/>
    </row>
  </sheetData>
  <mergeCells count="2">
    <mergeCell ref="B3:J3"/>
    <mergeCell ref="B4:J4"/>
  </mergeCells>
  <pageMargins left="0.68" right="0.27559055118110237" top="1.4960629921259843" bottom="0.98425196850393704" header="0.55118110236220474" footer="0"/>
  <pageSetup paperSize="5" scale="6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APROBADO-2025</vt:lpstr>
      <vt:lpstr>PTO-INGRESOS-MESES-2025</vt:lpstr>
      <vt:lpstr>EJEC MES A MES-2025-modif</vt:lpstr>
      <vt:lpstr>EJECUION CTAS POR PAGAR-2025</vt:lpstr>
      <vt:lpstr>Enero-2025</vt:lpstr>
      <vt:lpstr>febrero-2025</vt:lpstr>
      <vt:lpstr>marzo-2025</vt:lpstr>
      <vt:lpstr>'APROBADO-2025'!Área_de_impresión</vt:lpstr>
      <vt:lpstr>'EJEC MES A MES-2025-modif'!Área_de_impresión</vt:lpstr>
      <vt:lpstr>'EJECUION CTAS POR PAGAR-2025'!Área_de_impresión</vt:lpstr>
      <vt:lpstr>'Enero-2025'!Área_de_impresión</vt:lpstr>
      <vt:lpstr>'febrero-2025'!Área_de_impresión</vt:lpstr>
      <vt:lpstr>'marzo-2025'!Área_de_impresión</vt:lpstr>
      <vt:lpstr>'PTO-INGRESOS-MESES-2025'!Área_de_impresión</vt:lpstr>
    </vt:vector>
  </TitlesOfParts>
  <Manager/>
  <Company>IDESAN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Financiero</cp:lastModifiedBy>
  <cp:revision/>
  <cp:lastPrinted>2025-04-22T20:53:09Z</cp:lastPrinted>
  <dcterms:created xsi:type="dcterms:W3CDTF">1998-09-08T16:04:01Z</dcterms:created>
  <dcterms:modified xsi:type="dcterms:W3CDTF">2025-05-12T14:21:46Z</dcterms:modified>
  <cp:category/>
  <cp:contentStatus/>
</cp:coreProperties>
</file>